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7"/>
  <workbookPr codeName="ThisWorkbook"/>
  <mc:AlternateContent xmlns:mc="http://schemas.openxmlformats.org/markup-compatibility/2006">
    <mc:Choice Requires="x15">
      <x15ac:absPath xmlns:x15ac="http://schemas.microsoft.com/office/spreadsheetml/2010/11/ac" url="https://d.docs.live.net/7938e0bd69841363/Website/[01] Equity Research/[01] Rubis/"/>
    </mc:Choice>
  </mc:AlternateContent>
  <xr:revisionPtr revIDLastSave="7415" documentId="13_ncr:1_{A619BF4F-9627-4BA5-AE57-4F86FE1893A3}" xr6:coauthVersionLast="47" xr6:coauthVersionMax="47" xr10:uidLastSave="{8B3882E8-0361-46C7-A1A9-8538B124396F}"/>
  <bookViews>
    <workbookView xWindow="-108" yWindow="-108" windowWidth="30936" windowHeight="17496" activeTab="7" xr2:uid="{00000000-000D-0000-FFFF-FFFF00000000}"/>
  </bookViews>
  <sheets>
    <sheet name="Cover" sheetId="16" r:id="rId1"/>
    <sheet name="Model" sheetId="10" r:id="rId2"/>
    <sheet name="Division Integration" sheetId="11" r:id="rId3"/>
    <sheet name="Scenario Analysis" sheetId="12" r:id="rId4"/>
    <sheet name="Rubis Energies Division" sheetId="4" r:id="rId5"/>
    <sheet name="Renewables Division" sheetId="9" r:id="rId6"/>
    <sheet name="Shares" sheetId="13" r:id="rId7"/>
    <sheet name="DCF" sheetId="3" r:id="rId8"/>
    <sheet name="Share Price Data" sheetId="8" r:id="rId9"/>
  </sheet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3" i="4" l="1"/>
  <c r="I263" i="4" s="1"/>
  <c r="F263" i="4"/>
  <c r="E263" i="4" s="1"/>
  <c r="D265" i="4"/>
  <c r="D264" i="4" s="1"/>
  <c r="D267" i="4"/>
  <c r="D268" i="4" s="1"/>
  <c r="D258" i="4"/>
  <c r="D259" i="4" s="1"/>
  <c r="D256" i="4"/>
  <c r="D255" i="4" s="1"/>
  <c r="H254" i="4"/>
  <c r="I254" i="4" s="1"/>
  <c r="F254" i="4"/>
  <c r="E254" i="4" s="1"/>
  <c r="F245" i="4"/>
  <c r="E245" i="4" s="1"/>
  <c r="H245" i="4"/>
  <c r="I245" i="4" s="1"/>
  <c r="D249" i="4"/>
  <c r="D250" i="4" s="1"/>
  <c r="D247" i="4"/>
  <c r="D246" i="4" s="1"/>
  <c r="H124" i="10"/>
  <c r="D16" i="16" a="1"/>
  <c r="D16" i="16" s="1"/>
  <c r="D8" i="10" s="1"/>
  <c r="H398" i="10" s="1"/>
  <c r="D10" i="16" a="1"/>
  <c r="D10" i="16" s="1"/>
  <c r="J83" i="3"/>
  <c r="E18" i="3"/>
  <c r="E19" i="3"/>
  <c r="E16" i="3"/>
  <c r="H114" i="10" l="1"/>
  <c r="H68" i="10"/>
  <c r="I68" i="10" s="1"/>
  <c r="J68" i="10" s="1"/>
  <c r="K68" i="10" s="1"/>
  <c r="L68" i="10" s="1"/>
  <c r="I69" i="10"/>
  <c r="J69" i="10" s="1"/>
  <c r="G9" i="9"/>
  <c r="C67" i="4"/>
  <c r="C2" i="3" l="1" a="1"/>
  <c r="C2" i="3" s="1"/>
  <c r="C2" i="10" a="1"/>
  <c r="C2" i="10" s="1"/>
  <c r="D6" i="16" a="1"/>
  <c r="D6" i="16" s="1"/>
  <c r="D17" i="16" a="1"/>
  <c r="D17" i="16" s="1"/>
  <c r="D11" i="16" a="1"/>
  <c r="D11" i="16" s="1"/>
  <c r="D9" i="16" a="1"/>
  <c r="D9" i="16" s="1"/>
  <c r="D8" i="16" a="1"/>
  <c r="D8" i="16" s="1"/>
  <c r="D7" i="10"/>
  <c r="C27" i="16"/>
  <c r="C24" i="16"/>
  <c r="C25" i="16"/>
  <c r="C26" i="16"/>
  <c r="C23" i="16"/>
  <c r="J80" i="3" a="1"/>
  <c r="J80" i="3" s="1"/>
  <c r="J113" i="3" s="1"/>
  <c r="D5" i="3"/>
  <c r="D18" i="16"/>
  <c r="C2" i="16" a="1"/>
  <c r="C2" i="16" s="1"/>
  <c r="D7" i="16" a="1"/>
  <c r="D7" i="16" s="1"/>
  <c r="H6" i="3" s="1"/>
  <c r="D5" i="16" a="1"/>
  <c r="D5" i="16" s="1"/>
  <c r="D6" i="10" l="1"/>
  <c r="F29" i="3"/>
  <c r="G29" i="3"/>
  <c r="H29" i="3"/>
  <c r="I127" i="10"/>
  <c r="J127" i="10"/>
  <c r="K80" i="10"/>
  <c r="K127" i="10" s="1"/>
  <c r="F109" i="3"/>
  <c r="H22" i="3" l="1"/>
  <c r="L80" i="10"/>
  <c r="I29" i="3"/>
  <c r="I22" i="3" s="1"/>
  <c r="G22" i="3"/>
  <c r="D335" i="10"/>
  <c r="E335" i="10"/>
  <c r="F335" i="10"/>
  <c r="G335" i="10"/>
  <c r="I124" i="10"/>
  <c r="J124" i="10"/>
  <c r="K124" i="10"/>
  <c r="L124" i="10"/>
  <c r="E37" i="10"/>
  <c r="F37" i="10"/>
  <c r="G37" i="10"/>
  <c r="D37" i="10"/>
  <c r="H192" i="10"/>
  <c r="I192" i="10" s="1"/>
  <c r="J192" i="10" s="1"/>
  <c r="K192" i="10" s="1"/>
  <c r="L192" i="10" s="1"/>
  <c r="L127" i="10" l="1"/>
  <c r="J29" i="3"/>
  <c r="J22" i="3" s="1"/>
  <c r="H55" i="12"/>
  <c r="I55" i="12"/>
  <c r="J55" i="12"/>
  <c r="K55" i="12"/>
  <c r="G55" i="12"/>
  <c r="H49" i="4"/>
  <c r="I49" i="4" s="1"/>
  <c r="J49" i="4" s="1"/>
  <c r="K49" i="4" s="1"/>
  <c r="L49" i="4" s="1"/>
  <c r="H51" i="4"/>
  <c r="I51" i="4" s="1"/>
  <c r="J51" i="4" s="1"/>
  <c r="K51" i="4" s="1"/>
  <c r="L51" i="4" s="1"/>
  <c r="H42" i="4" l="1"/>
  <c r="I42" i="4" s="1"/>
  <c r="J42" i="4" s="1"/>
  <c r="K42" i="4" s="1"/>
  <c r="L42" i="4" s="1"/>
  <c r="H48" i="4"/>
  <c r="I48" i="4" s="1"/>
  <c r="J48" i="4" s="1"/>
  <c r="K48" i="4" s="1"/>
  <c r="L48" i="4" s="1"/>
  <c r="H50" i="4"/>
  <c r="I50" i="4" s="1"/>
  <c r="J50" i="4" s="1"/>
  <c r="K50" i="4" s="1"/>
  <c r="L50" i="4" s="1"/>
  <c r="H43" i="4"/>
  <c r="I43" i="4" s="1"/>
  <c r="J43" i="4" s="1"/>
  <c r="K43" i="4" s="1"/>
  <c r="L43" i="4" s="1"/>
  <c r="H44" i="4"/>
  <c r="I44" i="4" s="1"/>
  <c r="J44" i="4" s="1"/>
  <c r="K44" i="4" s="1"/>
  <c r="L44" i="4" s="1"/>
  <c r="H56" i="4"/>
  <c r="I56" i="4" s="1"/>
  <c r="J56" i="4" s="1"/>
  <c r="K56" i="4" s="1"/>
  <c r="L56" i="4" s="1"/>
  <c r="H58" i="4"/>
  <c r="I58" i="4" s="1"/>
  <c r="J58" i="4" s="1"/>
  <c r="K58" i="4" s="1"/>
  <c r="L58" i="4" s="1"/>
  <c r="H57" i="4"/>
  <c r="I57" i="4" s="1"/>
  <c r="J57" i="4" s="1"/>
  <c r="K57" i="4" s="1"/>
  <c r="L57" i="4" s="1"/>
  <c r="H55" i="4"/>
  <c r="I55" i="4" s="1"/>
  <c r="J55" i="4" s="1"/>
  <c r="K55" i="4" s="1"/>
  <c r="L55" i="4" s="1"/>
  <c r="H59" i="4"/>
  <c r="I59" i="4" s="1"/>
  <c r="J59" i="4" s="1"/>
  <c r="K59" i="4" s="1"/>
  <c r="L59" i="4" s="1"/>
  <c r="G81" i="4"/>
  <c r="G82" i="4"/>
  <c r="G83" i="4"/>
  <c r="G84" i="4"/>
  <c r="H84" i="4"/>
  <c r="G85" i="4"/>
  <c r="H85" i="4"/>
  <c r="G87" i="4"/>
  <c r="G88" i="4"/>
  <c r="G89" i="4"/>
  <c r="G90" i="4"/>
  <c r="G91" i="4"/>
  <c r="H91" i="4"/>
  <c r="G92" i="4"/>
  <c r="H92" i="4"/>
  <c r="G94" i="4"/>
  <c r="G95" i="4"/>
  <c r="G96" i="4"/>
  <c r="G97" i="4"/>
  <c r="G98" i="4"/>
  <c r="H99" i="4"/>
  <c r="F80" i="4"/>
  <c r="G80" i="4"/>
  <c r="F81" i="4"/>
  <c r="F82" i="4"/>
  <c r="F83" i="4"/>
  <c r="F84" i="4"/>
  <c r="F85" i="4"/>
  <c r="F87" i="4"/>
  <c r="F88" i="4"/>
  <c r="F89" i="4"/>
  <c r="F90" i="4"/>
  <c r="F91" i="4"/>
  <c r="F92" i="4"/>
  <c r="F94" i="4"/>
  <c r="F95" i="4"/>
  <c r="F96" i="4"/>
  <c r="F97" i="4"/>
  <c r="F98" i="4"/>
  <c r="F99" i="4"/>
  <c r="G99" i="4"/>
  <c r="E85" i="4"/>
  <c r="E87" i="4"/>
  <c r="E88" i="4"/>
  <c r="E89" i="4"/>
  <c r="E90" i="4"/>
  <c r="E91" i="4"/>
  <c r="E92" i="4"/>
  <c r="E94" i="4"/>
  <c r="E95" i="4"/>
  <c r="E96" i="4"/>
  <c r="E97" i="4"/>
  <c r="E98" i="4"/>
  <c r="E99" i="4"/>
  <c r="E80" i="4"/>
  <c r="E81" i="4"/>
  <c r="E82" i="4"/>
  <c r="E83" i="4"/>
  <c r="E84" i="4"/>
  <c r="H41" i="4"/>
  <c r="I41" i="4" s="1"/>
  <c r="J41" i="4" s="1"/>
  <c r="K41" i="4" s="1"/>
  <c r="L41" i="4" s="1"/>
  <c r="B2" i="8"/>
  <c r="B1" i="8"/>
  <c r="F5" i="13"/>
  <c r="G26" i="9" l="1"/>
  <c r="G13" i="9"/>
  <c r="D5" i="9"/>
  <c r="C4" i="9"/>
  <c r="C3" i="9"/>
  <c r="L229" i="4"/>
  <c r="L230" i="4" s="1"/>
  <c r="C217" i="4"/>
  <c r="C218" i="4"/>
  <c r="G202" i="4"/>
  <c r="G203" i="4" s="1"/>
  <c r="G192" i="4"/>
  <c r="G191" i="4"/>
  <c r="G190" i="4"/>
  <c r="G189" i="4"/>
  <c r="G188" i="4"/>
  <c r="G182" i="4"/>
  <c r="G185" i="4" s="1"/>
  <c r="G163" i="4"/>
  <c r="G164" i="4"/>
  <c r="G165" i="4"/>
  <c r="I60" i="4"/>
  <c r="I99" i="4" s="1"/>
  <c r="I52" i="4"/>
  <c r="I91" i="4" s="1"/>
  <c r="I53" i="4"/>
  <c r="I92" i="4" s="1"/>
  <c r="I45" i="4"/>
  <c r="I84" i="4" s="1"/>
  <c r="I46" i="4"/>
  <c r="I85" i="4" s="1"/>
  <c r="H54" i="4"/>
  <c r="H47" i="4"/>
  <c r="H40" i="4"/>
  <c r="G24" i="4"/>
  <c r="C4" i="4"/>
  <c r="C3" i="4"/>
  <c r="F379" i="10"/>
  <c r="E379" i="10"/>
  <c r="D379" i="10"/>
  <c r="D370" i="10"/>
  <c r="F331" i="10"/>
  <c r="E331" i="10"/>
  <c r="D331" i="10"/>
  <c r="D337" i="10" s="1"/>
  <c r="F326" i="10"/>
  <c r="E326" i="10"/>
  <c r="D326" i="10"/>
  <c r="F321" i="10"/>
  <c r="E321" i="10"/>
  <c r="D321" i="10"/>
  <c r="F320" i="10"/>
  <c r="E320" i="10"/>
  <c r="D320" i="10"/>
  <c r="D314" i="10"/>
  <c r="G28" i="4" l="1"/>
  <c r="G30" i="4"/>
  <c r="G29" i="4"/>
  <c r="G27" i="4"/>
  <c r="J45" i="4"/>
  <c r="J84" i="4" s="1"/>
  <c r="J60" i="4"/>
  <c r="J99" i="4" s="1"/>
  <c r="J52" i="4"/>
  <c r="J91" i="4" s="1"/>
  <c r="J46" i="4"/>
  <c r="J85" i="4" s="1"/>
  <c r="J53" i="4"/>
  <c r="J92" i="4" s="1"/>
  <c r="G193" i="4"/>
  <c r="I54" i="4"/>
  <c r="I47" i="4"/>
  <c r="I40" i="4"/>
  <c r="I86" i="4" l="1"/>
  <c r="I93" i="4"/>
  <c r="I79" i="4"/>
  <c r="J47" i="4"/>
  <c r="K45" i="4"/>
  <c r="K84" i="4" s="1"/>
  <c r="J54" i="4"/>
  <c r="K53" i="4"/>
  <c r="K92" i="4" s="1"/>
  <c r="K60" i="4"/>
  <c r="K99" i="4" s="1"/>
  <c r="K46" i="4"/>
  <c r="K85" i="4" s="1"/>
  <c r="K52" i="4"/>
  <c r="K91" i="4" s="1"/>
  <c r="I61" i="4"/>
  <c r="I67" i="4" s="1"/>
  <c r="J40" i="4"/>
  <c r="J86" i="4" l="1"/>
  <c r="I66" i="4"/>
  <c r="J79" i="4"/>
  <c r="I64" i="4"/>
  <c r="I65" i="4"/>
  <c r="J93" i="4"/>
  <c r="K54" i="4"/>
  <c r="L45" i="4"/>
  <c r="L84" i="4" s="1"/>
  <c r="L60" i="4"/>
  <c r="L99" i="4" s="1"/>
  <c r="L46" i="4"/>
  <c r="L85" i="4" s="1"/>
  <c r="K40" i="4"/>
  <c r="L52" i="4"/>
  <c r="L91" i="4" s="1"/>
  <c r="L53" i="4"/>
  <c r="L92" i="4" s="1"/>
  <c r="K47" i="4"/>
  <c r="J61" i="4"/>
  <c r="J64" i="4" s="1"/>
  <c r="K79" i="4" l="1"/>
  <c r="J100" i="4"/>
  <c r="J67" i="4"/>
  <c r="K93" i="4"/>
  <c r="J65" i="4"/>
  <c r="K86" i="4"/>
  <c r="J66" i="4"/>
  <c r="L71" i="4"/>
  <c r="L40" i="4"/>
  <c r="K61" i="4"/>
  <c r="L73" i="4"/>
  <c r="L74" i="4"/>
  <c r="L72" i="4"/>
  <c r="L54" i="4"/>
  <c r="L75" i="4"/>
  <c r="L47" i="4"/>
  <c r="L70" i="4"/>
  <c r="K100" i="4" l="1"/>
  <c r="K67" i="4"/>
  <c r="K66" i="4"/>
  <c r="L79" i="4"/>
  <c r="L86" i="4"/>
  <c r="K64" i="4"/>
  <c r="L93" i="4"/>
  <c r="K65" i="4"/>
  <c r="L61" i="4"/>
  <c r="L64" i="4" s="1"/>
  <c r="L76" i="4"/>
  <c r="L65" i="4" l="1"/>
  <c r="L100" i="4"/>
  <c r="L67" i="4"/>
  <c r="L66" i="4"/>
  <c r="D296" i="10"/>
  <c r="D299" i="10"/>
  <c r="F292" i="10"/>
  <c r="E292" i="10"/>
  <c r="D292" i="10"/>
  <c r="D294" i="10" s="1"/>
  <c r="F271" i="10"/>
  <c r="E271" i="10"/>
  <c r="F268" i="10" s="1"/>
  <c r="D271" i="10"/>
  <c r="E268" i="10" s="1"/>
  <c r="F270" i="10"/>
  <c r="E270" i="10"/>
  <c r="D270" i="10"/>
  <c r="D251" i="10"/>
  <c r="D219" i="10"/>
  <c r="D205" i="10"/>
  <c r="D216" i="10" s="1"/>
  <c r="D217" i="10" s="1"/>
  <c r="D166" i="10"/>
  <c r="D156" i="10"/>
  <c r="G76" i="10"/>
  <c r="G84" i="10"/>
  <c r="G83" i="10"/>
  <c r="G80" i="10"/>
  <c r="F46" i="10"/>
  <c r="E46" i="10"/>
  <c r="G77" i="10"/>
  <c r="G74" i="10"/>
  <c r="G73" i="10"/>
  <c r="E28" i="3" s="1"/>
  <c r="G61" i="10"/>
  <c r="G57" i="10"/>
  <c r="G188" i="10"/>
  <c r="F84" i="10"/>
  <c r="F311" i="10" s="1"/>
  <c r="E84" i="10"/>
  <c r="E311" i="10" s="1"/>
  <c r="D84" i="10"/>
  <c r="D311" i="10" s="1"/>
  <c r="F83" i="10"/>
  <c r="F327" i="10" s="1"/>
  <c r="E83" i="10"/>
  <c r="E327" i="10" s="1"/>
  <c r="D83" i="10"/>
  <c r="D327" i="10" s="1"/>
  <c r="F77" i="10"/>
  <c r="E77" i="10"/>
  <c r="F291" i="10" s="1"/>
  <c r="F294" i="10" s="1"/>
  <c r="D77" i="10"/>
  <c r="E291" i="10" s="1"/>
  <c r="F76" i="10"/>
  <c r="D27" i="3" s="1"/>
  <c r="E76" i="10"/>
  <c r="D76" i="10"/>
  <c r="F74" i="10"/>
  <c r="E74" i="10"/>
  <c r="D74" i="10"/>
  <c r="F73" i="10"/>
  <c r="D28" i="3" s="1"/>
  <c r="E73" i="10"/>
  <c r="D73" i="10"/>
  <c r="F61" i="10"/>
  <c r="E61" i="10"/>
  <c r="D61" i="10"/>
  <c r="D59" i="10"/>
  <c r="D144" i="10" s="1"/>
  <c r="F57" i="10"/>
  <c r="F378" i="10" s="1"/>
  <c r="E57" i="10"/>
  <c r="E378" i="10" s="1"/>
  <c r="D57" i="10"/>
  <c r="D378" i="10" s="1"/>
  <c r="F188" i="10"/>
  <c r="F59" i="10" s="1"/>
  <c r="E188" i="10"/>
  <c r="E59" i="10" s="1"/>
  <c r="G24" i="10"/>
  <c r="G19" i="10"/>
  <c r="G18" i="10"/>
  <c r="G49" i="10" s="1"/>
  <c r="F19" i="10"/>
  <c r="E19" i="10"/>
  <c r="D19" i="10"/>
  <c r="F18" i="10"/>
  <c r="F49" i="10" s="1"/>
  <c r="E18" i="10"/>
  <c r="E49" i="10" s="1"/>
  <c r="D18" i="10"/>
  <c r="D49" i="10" s="1"/>
  <c r="G378" i="10" l="1"/>
  <c r="D13" i="16"/>
  <c r="E21" i="3"/>
  <c r="E294" i="10"/>
  <c r="H127" i="10"/>
  <c r="E29" i="3"/>
  <c r="F22" i="3" s="1"/>
  <c r="G59" i="10"/>
  <c r="H188" i="10"/>
  <c r="I188" i="10" s="1"/>
  <c r="J188" i="10" s="1"/>
  <c r="K188" i="10" s="1"/>
  <c r="L188" i="10" s="1"/>
  <c r="E144" i="10"/>
  <c r="F144" i="10"/>
  <c r="F374" i="10"/>
  <c r="F373" i="10" s="1"/>
  <c r="D374" i="10"/>
  <c r="D373" i="10" s="1"/>
  <c r="E374" i="10"/>
  <c r="E373" i="10" s="1"/>
  <c r="D300" i="10"/>
  <c r="E243" i="10"/>
  <c r="D298" i="10"/>
  <c r="D243" i="10"/>
  <c r="D194" i="10"/>
  <c r="D184" i="10" s="1"/>
  <c r="D94" i="10" s="1"/>
  <c r="D70" i="10"/>
  <c r="D193" i="10"/>
  <c r="F243" i="10"/>
  <c r="D208" i="10"/>
  <c r="F81" i="10"/>
  <c r="D87" i="10"/>
  <c r="E87" i="10"/>
  <c r="E81" i="10"/>
  <c r="E92" i="10" s="1"/>
  <c r="F87" i="10"/>
  <c r="D81" i="10"/>
  <c r="D92" i="10" s="1"/>
  <c r="D183" i="10" l="1"/>
  <c r="D93" i="10" s="1"/>
  <c r="F92" i="10"/>
  <c r="E375" i="10"/>
  <c r="F375" i="10"/>
  <c r="D89" i="10"/>
  <c r="C112" i="12" l="1"/>
  <c r="C22" i="12" s="1"/>
  <c r="K116" i="12"/>
  <c r="J116" i="12"/>
  <c r="I116" i="12"/>
  <c r="H116" i="12"/>
  <c r="G116" i="12"/>
  <c r="K115" i="12"/>
  <c r="J115" i="12"/>
  <c r="I115" i="12"/>
  <c r="H115" i="12"/>
  <c r="G115" i="12"/>
  <c r="K113" i="12"/>
  <c r="J113" i="12"/>
  <c r="I113" i="12"/>
  <c r="H113" i="12"/>
  <c r="G113" i="12"/>
  <c r="K121" i="12" l="1"/>
  <c r="J121" i="12"/>
  <c r="I121" i="12"/>
  <c r="H121" i="12"/>
  <c r="G121" i="12"/>
  <c r="G118" i="12"/>
  <c r="K111" i="12"/>
  <c r="J111" i="12"/>
  <c r="I111" i="12"/>
  <c r="H111" i="12"/>
  <c r="G111" i="12"/>
  <c r="K106" i="12"/>
  <c r="J106" i="12"/>
  <c r="I106" i="12"/>
  <c r="H106" i="12"/>
  <c r="G106" i="12"/>
  <c r="K92" i="12"/>
  <c r="J92" i="12"/>
  <c r="I92" i="12"/>
  <c r="H92" i="12"/>
  <c r="G92" i="12"/>
  <c r="K75" i="12"/>
  <c r="J75" i="12"/>
  <c r="I75" i="12"/>
  <c r="H75" i="12"/>
  <c r="G75" i="12"/>
  <c r="K70" i="12"/>
  <c r="J70" i="12"/>
  <c r="I70" i="12"/>
  <c r="H70" i="12"/>
  <c r="G70" i="12"/>
  <c r="K65" i="12"/>
  <c r="J65" i="12"/>
  <c r="I65" i="12"/>
  <c r="H65" i="12"/>
  <c r="G65" i="12"/>
  <c r="L54" i="11"/>
  <c r="C36" i="11"/>
  <c r="C35" i="11"/>
  <c r="L33" i="11"/>
  <c r="C21" i="11"/>
  <c r="C20" i="11"/>
  <c r="I79" i="12"/>
  <c r="K81" i="12"/>
  <c r="J81" i="12"/>
  <c r="I81" i="12"/>
  <c r="H81" i="12"/>
  <c r="G81" i="12"/>
  <c r="K79" i="12"/>
  <c r="J79" i="12"/>
  <c r="H79" i="12"/>
  <c r="G79" i="12"/>
  <c r="K82" i="12"/>
  <c r="J82" i="12"/>
  <c r="I82" i="12"/>
  <c r="H82" i="12"/>
  <c r="G82" i="12"/>
  <c r="C78" i="12"/>
  <c r="C15" i="12" s="1"/>
  <c r="F192" i="4"/>
  <c r="E192" i="4"/>
  <c r="D192" i="4"/>
  <c r="F191" i="4"/>
  <c r="E191" i="4"/>
  <c r="D191" i="4"/>
  <c r="F190" i="4"/>
  <c r="E190" i="4"/>
  <c r="D190" i="4"/>
  <c r="F189" i="4"/>
  <c r="E189" i="4"/>
  <c r="D189" i="4"/>
  <c r="F188" i="4"/>
  <c r="E188" i="4"/>
  <c r="D188" i="4"/>
  <c r="K60" i="12"/>
  <c r="J60" i="12"/>
  <c r="I60" i="12"/>
  <c r="H60" i="12"/>
  <c r="K59" i="12"/>
  <c r="J59" i="12"/>
  <c r="I59" i="12"/>
  <c r="H59" i="12"/>
  <c r="G60" i="12"/>
  <c r="G59" i="12"/>
  <c r="K57" i="12"/>
  <c r="J57" i="12"/>
  <c r="I57" i="12"/>
  <c r="H57" i="12"/>
  <c r="G57" i="12"/>
  <c r="K54" i="12"/>
  <c r="J54" i="12"/>
  <c r="I54" i="12"/>
  <c r="H54" i="12"/>
  <c r="G54" i="12"/>
  <c r="K52" i="12"/>
  <c r="J52" i="12"/>
  <c r="I52" i="12"/>
  <c r="H52" i="12"/>
  <c r="G52" i="12"/>
  <c r="K47" i="12"/>
  <c r="J47" i="12"/>
  <c r="I47" i="12"/>
  <c r="H47" i="12"/>
  <c r="K50" i="12"/>
  <c r="J50" i="12"/>
  <c r="I50" i="12"/>
  <c r="H50" i="12"/>
  <c r="K49" i="12"/>
  <c r="J49" i="12"/>
  <c r="I49" i="12"/>
  <c r="H49" i="12"/>
  <c r="G50" i="12"/>
  <c r="G49" i="12"/>
  <c r="G47" i="12"/>
  <c r="L215" i="4"/>
  <c r="K84" i="12"/>
  <c r="J84" i="12"/>
  <c r="I84" i="12"/>
  <c r="H84" i="12"/>
  <c r="K87" i="12"/>
  <c r="J87" i="12"/>
  <c r="I87" i="12"/>
  <c r="H87" i="12"/>
  <c r="K86" i="12"/>
  <c r="J86" i="12"/>
  <c r="I86" i="12"/>
  <c r="H86" i="12"/>
  <c r="G87" i="12"/>
  <c r="G86" i="12"/>
  <c r="G84" i="12"/>
  <c r="D193" i="4" l="1"/>
  <c r="F193" i="4"/>
  <c r="E193" i="4"/>
  <c r="C83" i="12" l="1"/>
  <c r="C16" i="12" s="1"/>
  <c r="F202" i="4"/>
  <c r="F203" i="4" s="1"/>
  <c r="F208" i="4" s="1"/>
  <c r="E202" i="4"/>
  <c r="E203" i="4" s="1"/>
  <c r="E208" i="4" s="1"/>
  <c r="D202" i="4"/>
  <c r="D203" i="4" s="1"/>
  <c r="D208" i="4" s="1"/>
  <c r="K97" i="12"/>
  <c r="J97" i="12"/>
  <c r="I97" i="12"/>
  <c r="H97" i="12"/>
  <c r="G97" i="12"/>
  <c r="K96" i="12"/>
  <c r="J96" i="12"/>
  <c r="I96" i="12"/>
  <c r="H96" i="12"/>
  <c r="G96" i="12"/>
  <c r="G94" i="12"/>
  <c r="K94" i="12"/>
  <c r="J94" i="12"/>
  <c r="I94" i="12"/>
  <c r="H94" i="12"/>
  <c r="C93" i="12"/>
  <c r="C18" i="12" s="1"/>
  <c r="F183" i="4"/>
  <c r="G184" i="4" s="1"/>
  <c r="E183" i="4"/>
  <c r="D183" i="4"/>
  <c r="K229" i="4"/>
  <c r="K230" i="4" s="1"/>
  <c r="J229" i="4"/>
  <c r="J230" i="4" s="1"/>
  <c r="I229" i="4"/>
  <c r="I230" i="4" s="1"/>
  <c r="H229" i="4"/>
  <c r="H230" i="4" s="1"/>
  <c r="C88" i="12"/>
  <c r="E204" i="4" l="1"/>
  <c r="E205" i="4" s="1"/>
  <c r="F204" i="4"/>
  <c r="F205" i="4" s="1"/>
  <c r="D204" i="4"/>
  <c r="D205" i="4" s="1"/>
  <c r="E184" i="4"/>
  <c r="F184" i="4"/>
  <c r="F13" i="9" l="1"/>
  <c r="F111" i="3" l="1"/>
  <c r="E314" i="10"/>
  <c r="F314" i="10"/>
  <c r="G314" i="10"/>
  <c r="J50" i="3"/>
  <c r="C54" i="3"/>
  <c r="C53" i="3"/>
  <c r="F84" i="3"/>
  <c r="D13" i="13"/>
  <c r="C14" i="3"/>
  <c r="C13" i="3"/>
  <c r="J11" i="3"/>
  <c r="H7" i="3"/>
  <c r="D6" i="3"/>
  <c r="E56" i="3" l="1"/>
  <c r="E57" i="3" s="1"/>
  <c r="H5" i="3"/>
  <c r="D30" i="16" s="1"/>
  <c r="D31" i="16" s="1"/>
  <c r="E62" i="3"/>
  <c r="C60" i="3"/>
  <c r="C32" i="3"/>
  <c r="E34" i="3"/>
  <c r="D8" i="3"/>
  <c r="D35" i="3" l="1"/>
  <c r="D63" i="3"/>
  <c r="L339" i="10"/>
  <c r="L403" i="10"/>
  <c r="L381" i="10"/>
  <c r="L357" i="10"/>
  <c r="L302" i="10"/>
  <c r="L231" i="10"/>
  <c r="L196" i="10"/>
  <c r="L135" i="10"/>
  <c r="L75" i="11"/>
  <c r="L18" i="11"/>
  <c r="L29" i="9"/>
  <c r="L240" i="4"/>
  <c r="L174" i="4"/>
  <c r="L18" i="4"/>
  <c r="L52" i="10"/>
  <c r="L97" i="10"/>
  <c r="C41" i="12"/>
  <c r="C36" i="12"/>
  <c r="C31" i="12"/>
  <c r="C36" i="4"/>
  <c r="C117" i="12"/>
  <c r="C23" i="12" s="1"/>
  <c r="D9" i="10" l="1"/>
  <c r="K72" i="12" l="1"/>
  <c r="J72" i="12"/>
  <c r="I72" i="12"/>
  <c r="H72" i="12"/>
  <c r="K74" i="12"/>
  <c r="J74" i="12"/>
  <c r="I74" i="12"/>
  <c r="H74" i="12"/>
  <c r="G74" i="12"/>
  <c r="G72" i="12"/>
  <c r="K69" i="12"/>
  <c r="J69" i="12"/>
  <c r="I69" i="12"/>
  <c r="H69" i="12"/>
  <c r="G69" i="12"/>
  <c r="K67" i="12"/>
  <c r="J67" i="12"/>
  <c r="I67" i="12"/>
  <c r="H67" i="12"/>
  <c r="G67" i="12"/>
  <c r="K64" i="12"/>
  <c r="J64" i="12"/>
  <c r="I64" i="12"/>
  <c r="H64" i="12"/>
  <c r="G64" i="12"/>
  <c r="K62" i="12"/>
  <c r="J62" i="12"/>
  <c r="I62" i="12"/>
  <c r="H62" i="12"/>
  <c r="G62" i="12"/>
  <c r="C46" i="12"/>
  <c r="C51" i="12"/>
  <c r="C56" i="12"/>
  <c r="K89" i="12"/>
  <c r="J89" i="12"/>
  <c r="I89" i="12"/>
  <c r="H89" i="12"/>
  <c r="K91" i="12"/>
  <c r="J91" i="12"/>
  <c r="I91" i="12"/>
  <c r="H91" i="12"/>
  <c r="G91" i="12"/>
  <c r="G89" i="12"/>
  <c r="K105" i="12"/>
  <c r="J105" i="12"/>
  <c r="I105" i="12"/>
  <c r="H105" i="12"/>
  <c r="G105" i="12"/>
  <c r="K103" i="12"/>
  <c r="J103" i="12"/>
  <c r="I103" i="12"/>
  <c r="H103" i="12"/>
  <c r="G103" i="12"/>
  <c r="K110" i="12"/>
  <c r="J110" i="12"/>
  <c r="I110" i="12"/>
  <c r="H110" i="12"/>
  <c r="G110" i="12"/>
  <c r="K108" i="12"/>
  <c r="J108" i="12"/>
  <c r="I108" i="12"/>
  <c r="H108" i="12"/>
  <c r="G108" i="12"/>
  <c r="K120" i="12"/>
  <c r="J120" i="12"/>
  <c r="I120" i="12"/>
  <c r="H120" i="12"/>
  <c r="G120" i="12"/>
  <c r="K118" i="12"/>
  <c r="J118" i="12"/>
  <c r="I118" i="12"/>
  <c r="H118" i="12"/>
  <c r="C17" i="12"/>
  <c r="C71" i="12"/>
  <c r="C14" i="12" s="1"/>
  <c r="C66" i="12"/>
  <c r="C13" i="12" s="1"/>
  <c r="C61" i="12"/>
  <c r="C12" i="12" s="1"/>
  <c r="H10" i="9"/>
  <c r="I10" i="9" s="1"/>
  <c r="J10" i="9" s="1"/>
  <c r="K10" i="9" s="1"/>
  <c r="L10" i="9" s="1"/>
  <c r="C26" i="12"/>
  <c r="I15" i="12" l="1"/>
  <c r="K15" i="12"/>
  <c r="H15" i="12"/>
  <c r="G15" i="12"/>
  <c r="J15" i="12"/>
  <c r="H16" i="12"/>
  <c r="K16" i="12"/>
  <c r="J16" i="12"/>
  <c r="G16" i="12"/>
  <c r="I16" i="12"/>
  <c r="C5" i="12"/>
  <c r="K18" i="12"/>
  <c r="H18" i="12"/>
  <c r="G18" i="12"/>
  <c r="J18" i="12"/>
  <c r="I18" i="12"/>
  <c r="I12" i="12"/>
  <c r="H12" i="12"/>
  <c r="K12" i="12"/>
  <c r="G12" i="12"/>
  <c r="J12" i="12"/>
  <c r="H13" i="12"/>
  <c r="K13" i="12"/>
  <c r="G13" i="12"/>
  <c r="J13" i="12"/>
  <c r="I13" i="12"/>
  <c r="K14" i="12"/>
  <c r="G14" i="12"/>
  <c r="J14" i="12"/>
  <c r="I14" i="12"/>
  <c r="H14" i="12"/>
  <c r="J17" i="12"/>
  <c r="I17" i="12"/>
  <c r="H17" i="12"/>
  <c r="K17" i="12"/>
  <c r="G17" i="12"/>
  <c r="C57" i="11"/>
  <c r="C56" i="11"/>
  <c r="C11" i="12"/>
  <c r="C10" i="12"/>
  <c r="C9" i="12"/>
  <c r="E232" i="4"/>
  <c r="E234" i="4" s="1"/>
  <c r="F232" i="4"/>
  <c r="F234" i="4" s="1"/>
  <c r="D232" i="4"/>
  <c r="D234" i="4" s="1"/>
  <c r="G54" i="4"/>
  <c r="G47" i="4"/>
  <c r="G40" i="4"/>
  <c r="G46" i="10"/>
  <c r="C107" i="12"/>
  <c r="C20" i="12" s="1"/>
  <c r="C102" i="12"/>
  <c r="C21" i="12" s="1"/>
  <c r="C8" i="12"/>
  <c r="C7" i="12"/>
  <c r="F26" i="9"/>
  <c r="C5" i="9"/>
  <c r="G292" i="10"/>
  <c r="G61" i="4" l="1"/>
  <c r="H86" i="4"/>
  <c r="H93" i="4"/>
  <c r="H79" i="4"/>
  <c r="G114" i="4"/>
  <c r="G113" i="4"/>
  <c r="G112" i="4"/>
  <c r="J22" i="12"/>
  <c r="I22" i="12"/>
  <c r="G23" i="12"/>
  <c r="H22" i="12"/>
  <c r="K23" i="12"/>
  <c r="J23" i="12"/>
  <c r="I23" i="12"/>
  <c r="K22" i="12"/>
  <c r="H23" i="12"/>
  <c r="K21" i="12"/>
  <c r="G21" i="12"/>
  <c r="J21" i="12"/>
  <c r="I21" i="12"/>
  <c r="H21" i="12"/>
  <c r="J11" i="12"/>
  <c r="I11" i="12"/>
  <c r="H11" i="12"/>
  <c r="K11" i="12"/>
  <c r="G11" i="12"/>
  <c r="H20" i="12"/>
  <c r="K20" i="12"/>
  <c r="G20" i="12"/>
  <c r="J20" i="12"/>
  <c r="I20" i="12"/>
  <c r="H9" i="12"/>
  <c r="K9" i="12"/>
  <c r="G9" i="12"/>
  <c r="I9" i="12"/>
  <c r="J9" i="12"/>
  <c r="K10" i="12"/>
  <c r="G10" i="12"/>
  <c r="J10" i="12"/>
  <c r="I10" i="12"/>
  <c r="H10" i="12"/>
  <c r="G22" i="12"/>
  <c r="C6" i="12"/>
  <c r="H24" i="10"/>
  <c r="G268" i="10"/>
  <c r="G271" i="10"/>
  <c r="D276" i="10"/>
  <c r="E296" i="10"/>
  <c r="E299" i="10"/>
  <c r="F299" i="10"/>
  <c r="G299" i="10"/>
  <c r="E17" i="3" s="1"/>
  <c r="H8" i="11"/>
  <c r="I8" i="11" s="1"/>
  <c r="J8" i="11" s="1"/>
  <c r="K8" i="11" s="1"/>
  <c r="L8" i="11" s="1"/>
  <c r="H105" i="10" l="1"/>
  <c r="G232" i="4"/>
  <c r="G204" i="4"/>
  <c r="G205" i="4" s="1"/>
  <c r="G208" i="4"/>
  <c r="K280" i="10"/>
  <c r="E298" i="10"/>
  <c r="J280" i="10"/>
  <c r="I280" i="10"/>
  <c r="H280" i="10"/>
  <c r="H268" i="10"/>
  <c r="L280" i="10"/>
  <c r="E208" i="10"/>
  <c r="G208" i="10"/>
  <c r="F208" i="10"/>
  <c r="G243" i="10"/>
  <c r="C4" i="11"/>
  <c r="C3" i="11"/>
  <c r="H170" i="4"/>
  <c r="I170" i="4" s="1"/>
  <c r="J170" i="4" s="1"/>
  <c r="K170" i="4" s="1"/>
  <c r="L170" i="4" s="1"/>
  <c r="H171" i="4"/>
  <c r="I171" i="4" s="1"/>
  <c r="J171" i="4" s="1"/>
  <c r="K171" i="4" s="1"/>
  <c r="L171" i="4" s="1"/>
  <c r="H169" i="4"/>
  <c r="I169" i="4" s="1"/>
  <c r="J169" i="4" s="1"/>
  <c r="K169" i="4" s="1"/>
  <c r="L169" i="4" s="1"/>
  <c r="C384" i="10"/>
  <c r="C383" i="10"/>
  <c r="G379" i="10"/>
  <c r="G370" i="10"/>
  <c r="F370" i="10"/>
  <c r="E370" i="10"/>
  <c r="C368" i="10"/>
  <c r="C367" i="10"/>
  <c r="C360" i="10"/>
  <c r="C359" i="10"/>
  <c r="C342" i="10"/>
  <c r="C341" i="10"/>
  <c r="H330" i="10"/>
  <c r="G331" i="10"/>
  <c r="G337" i="10" s="1"/>
  <c r="F337" i="10"/>
  <c r="E337" i="10"/>
  <c r="G321" i="10"/>
  <c r="H319" i="10" s="1"/>
  <c r="C305" i="10"/>
  <c r="C304" i="10"/>
  <c r="C265" i="10"/>
  <c r="C264" i="10"/>
  <c r="G240" i="10"/>
  <c r="H236" i="10" s="1"/>
  <c r="F240" i="10"/>
  <c r="E240" i="10"/>
  <c r="C234" i="10"/>
  <c r="C233" i="10"/>
  <c r="G205" i="10"/>
  <c r="G216" i="10" s="1"/>
  <c r="G217" i="10" s="1"/>
  <c r="F205" i="10"/>
  <c r="F216" i="10" s="1"/>
  <c r="F217" i="10" s="1"/>
  <c r="E205" i="10"/>
  <c r="E216" i="10" s="1"/>
  <c r="E217" i="10" s="1"/>
  <c r="C199" i="10"/>
  <c r="C198" i="10"/>
  <c r="L180" i="10"/>
  <c r="K180" i="10"/>
  <c r="J180" i="10"/>
  <c r="I180" i="10"/>
  <c r="H180" i="10"/>
  <c r="L176" i="10"/>
  <c r="K176" i="10"/>
  <c r="J176" i="10"/>
  <c r="I176" i="10"/>
  <c r="H176" i="10"/>
  <c r="G166" i="10"/>
  <c r="H164" i="10" s="1"/>
  <c r="F166" i="10"/>
  <c r="E166" i="10"/>
  <c r="E168" i="10" s="1"/>
  <c r="G156" i="10"/>
  <c r="H154" i="10" s="1"/>
  <c r="F156" i="10"/>
  <c r="E156" i="10"/>
  <c r="C138" i="10"/>
  <c r="C137" i="10"/>
  <c r="L109" i="10"/>
  <c r="K109" i="10"/>
  <c r="J109" i="10"/>
  <c r="I109" i="10"/>
  <c r="H109" i="10"/>
  <c r="C100" i="10"/>
  <c r="C99" i="10"/>
  <c r="G311" i="10"/>
  <c r="H308" i="10" s="1"/>
  <c r="G327" i="10"/>
  <c r="H324" i="10" s="1"/>
  <c r="H79" i="10"/>
  <c r="I79" i="10" s="1"/>
  <c r="J79" i="10" s="1"/>
  <c r="K79" i="10" s="1"/>
  <c r="L79" i="10" s="1"/>
  <c r="H78" i="10"/>
  <c r="I78" i="10" s="1"/>
  <c r="J78" i="10" s="1"/>
  <c r="K78" i="10" s="1"/>
  <c r="L78" i="10" s="1"/>
  <c r="G300" i="10"/>
  <c r="H291" i="10" s="1"/>
  <c r="F364" i="10"/>
  <c r="E364" i="10"/>
  <c r="H75" i="10"/>
  <c r="H111" i="10" s="1"/>
  <c r="H74" i="10"/>
  <c r="I74" i="10" s="1"/>
  <c r="J74" i="10" s="1"/>
  <c r="K74" i="10" s="1"/>
  <c r="L74" i="10" s="1"/>
  <c r="H66" i="10"/>
  <c r="I66" i="10" s="1"/>
  <c r="J66" i="10" s="1"/>
  <c r="K66" i="10" s="1"/>
  <c r="L66" i="10" s="1"/>
  <c r="H60" i="10"/>
  <c r="I60" i="10" s="1"/>
  <c r="J60" i="10" s="1"/>
  <c r="K60" i="10" s="1"/>
  <c r="L60" i="10" s="1"/>
  <c r="C55" i="10"/>
  <c r="C54" i="10"/>
  <c r="H29" i="10"/>
  <c r="L29" i="10" s="1"/>
  <c r="H22" i="10"/>
  <c r="I22" i="10" s="1"/>
  <c r="G13" i="10"/>
  <c r="G12" i="10"/>
  <c r="E177" i="4"/>
  <c r="F177" i="4"/>
  <c r="D177" i="4"/>
  <c r="E165" i="4"/>
  <c r="F165" i="4"/>
  <c r="D165" i="4"/>
  <c r="E164" i="4"/>
  <c r="F164" i="4"/>
  <c r="D164" i="4"/>
  <c r="E163" i="4"/>
  <c r="F163" i="4"/>
  <c r="D163" i="4"/>
  <c r="D160" i="4"/>
  <c r="E160" i="4"/>
  <c r="F160" i="4"/>
  <c r="D182" i="4"/>
  <c r="D185" i="4" s="1"/>
  <c r="E182" i="4"/>
  <c r="E185" i="4" s="1"/>
  <c r="F182" i="4"/>
  <c r="F185" i="4" s="1"/>
  <c r="F4" i="13" l="1"/>
  <c r="F11" i="13" s="1"/>
  <c r="H395" i="10"/>
  <c r="J2" i="8"/>
  <c r="G4" i="4"/>
  <c r="G218" i="4"/>
  <c r="G4" i="9"/>
  <c r="J1" i="8"/>
  <c r="G3" i="4"/>
  <c r="G217" i="4"/>
  <c r="G3" i="9"/>
  <c r="G236" i="4"/>
  <c r="G237" i="4"/>
  <c r="G235" i="4"/>
  <c r="L172" i="4"/>
  <c r="E160" i="10"/>
  <c r="E161" i="10"/>
  <c r="G364" i="10"/>
  <c r="H361" i="10" s="1"/>
  <c r="E27" i="3"/>
  <c r="E20" i="3" s="1"/>
  <c r="E23" i="3" s="1"/>
  <c r="E26" i="3"/>
  <c r="E53" i="3"/>
  <c r="G36" i="11"/>
  <c r="G21" i="11"/>
  <c r="G20" i="11"/>
  <c r="G35" i="11"/>
  <c r="H200" i="4"/>
  <c r="E13" i="3"/>
  <c r="G144" i="10"/>
  <c r="H142" i="10" s="1"/>
  <c r="H213" i="4"/>
  <c r="F10" i="4"/>
  <c r="E10" i="4"/>
  <c r="D10" i="4"/>
  <c r="G233" i="10"/>
  <c r="G56" i="11"/>
  <c r="H13" i="10"/>
  <c r="G57" i="11"/>
  <c r="I24" i="10"/>
  <c r="F300" i="10"/>
  <c r="G291" i="10"/>
  <c r="E300" i="10"/>
  <c r="D211" i="4"/>
  <c r="E211" i="4"/>
  <c r="F211" i="4"/>
  <c r="G4" i="11"/>
  <c r="G3" i="11"/>
  <c r="G374" i="10"/>
  <c r="G373" i="10" s="1"/>
  <c r="F168" i="10"/>
  <c r="F160" i="10"/>
  <c r="J22" i="10"/>
  <c r="K22" i="10" s="1"/>
  <c r="L22" i="10" s="1"/>
  <c r="F13" i="10"/>
  <c r="D13" i="3" s="1"/>
  <c r="I75" i="10"/>
  <c r="J75" i="10" s="1"/>
  <c r="J111" i="10" s="1"/>
  <c r="H320" i="10"/>
  <c r="H123" i="10" s="1"/>
  <c r="E70" i="10"/>
  <c r="G193" i="10"/>
  <c r="G160" i="10"/>
  <c r="H160" i="10" s="1"/>
  <c r="I160" i="10" s="1"/>
  <c r="J160" i="10" s="1"/>
  <c r="K160" i="10" s="1"/>
  <c r="L160" i="10" s="1"/>
  <c r="G81" i="10"/>
  <c r="G161" i="10"/>
  <c r="F12" i="10"/>
  <c r="G54" i="10"/>
  <c r="G168" i="10"/>
  <c r="H201" i="10"/>
  <c r="H12" i="10"/>
  <c r="H19" i="10"/>
  <c r="I19" i="10" s="1"/>
  <c r="F193" i="10"/>
  <c r="F70" i="10"/>
  <c r="E193" i="10"/>
  <c r="G354" i="10"/>
  <c r="H351" i="10" s="1"/>
  <c r="G383" i="10"/>
  <c r="G359" i="10"/>
  <c r="G304" i="10"/>
  <c r="G367" i="10"/>
  <c r="G264" i="10"/>
  <c r="G341" i="10"/>
  <c r="G198" i="10"/>
  <c r="G368" i="10"/>
  <c r="G265" i="10"/>
  <c r="G342" i="10"/>
  <c r="G234" i="10"/>
  <c r="G384" i="10"/>
  <c r="G360" i="10"/>
  <c r="G305" i="10"/>
  <c r="G55" i="10"/>
  <c r="G70" i="10"/>
  <c r="F161" i="10"/>
  <c r="G137" i="10"/>
  <c r="G199" i="10"/>
  <c r="G138" i="10"/>
  <c r="G194" i="10"/>
  <c r="E354" i="10"/>
  <c r="E194" i="10"/>
  <c r="E184" i="10" s="1"/>
  <c r="E94" i="10" s="1"/>
  <c r="G87" i="10"/>
  <c r="H344" i="10"/>
  <c r="F194" i="10"/>
  <c r="F184" i="10" s="1"/>
  <c r="F94" i="10" s="1"/>
  <c r="F354" i="10"/>
  <c r="G99" i="10"/>
  <c r="G100" i="10"/>
  <c r="G172" i="4"/>
  <c r="G12" i="4" s="1"/>
  <c r="H172" i="4"/>
  <c r="I172" i="4"/>
  <c r="J172" i="4"/>
  <c r="K172" i="4"/>
  <c r="G70" i="4"/>
  <c r="H70" i="4"/>
  <c r="I70" i="4"/>
  <c r="J70" i="4"/>
  <c r="K70" i="4"/>
  <c r="G71" i="4"/>
  <c r="H71" i="4"/>
  <c r="I71" i="4"/>
  <c r="J71" i="4"/>
  <c r="K71" i="4"/>
  <c r="G72" i="4"/>
  <c r="H72" i="4"/>
  <c r="I72" i="4"/>
  <c r="J72" i="4"/>
  <c r="K72" i="4"/>
  <c r="G73" i="4"/>
  <c r="H73" i="4"/>
  <c r="I73" i="4"/>
  <c r="J73" i="4"/>
  <c r="K73" i="4"/>
  <c r="G74" i="4"/>
  <c r="H74" i="4"/>
  <c r="I74" i="4"/>
  <c r="J74" i="4"/>
  <c r="K74" i="4"/>
  <c r="G75" i="4"/>
  <c r="H75" i="4"/>
  <c r="I75" i="4"/>
  <c r="J75" i="4"/>
  <c r="K75" i="4"/>
  <c r="H61" i="4"/>
  <c r="D172" i="4"/>
  <c r="D12" i="4" s="1"/>
  <c r="E172" i="4"/>
  <c r="E12" i="4" s="1"/>
  <c r="F172" i="4"/>
  <c r="F12" i="4" s="1"/>
  <c r="D24" i="4"/>
  <c r="E24" i="4"/>
  <c r="F24" i="4"/>
  <c r="E75" i="4"/>
  <c r="F75" i="4"/>
  <c r="D75" i="4"/>
  <c r="E74" i="4"/>
  <c r="F74" i="4"/>
  <c r="D74" i="4"/>
  <c r="E73" i="4"/>
  <c r="F73" i="4"/>
  <c r="D73" i="4"/>
  <c r="E72" i="4"/>
  <c r="F72" i="4"/>
  <c r="D72" i="4"/>
  <c r="E71" i="4"/>
  <c r="F71" i="4"/>
  <c r="D71" i="4"/>
  <c r="E70" i="4"/>
  <c r="F70" i="4"/>
  <c r="D70" i="4"/>
  <c r="E54" i="4"/>
  <c r="F54" i="4"/>
  <c r="D54" i="4"/>
  <c r="E47" i="4"/>
  <c r="F47" i="4"/>
  <c r="D47" i="4"/>
  <c r="E40" i="4"/>
  <c r="F40" i="4"/>
  <c r="D40" i="4"/>
  <c r="J4" i="8" a="1"/>
  <c r="D12" i="16" l="1"/>
  <c r="D14" i="16"/>
  <c r="D29" i="4"/>
  <c r="D30" i="4"/>
  <c r="D27" i="4"/>
  <c r="D28" i="4"/>
  <c r="F27" i="4"/>
  <c r="F30" i="4"/>
  <c r="F29" i="4"/>
  <c r="F28" i="4"/>
  <c r="E30" i="4"/>
  <c r="E29" i="4"/>
  <c r="E28" i="4"/>
  <c r="E27" i="4"/>
  <c r="G92" i="10"/>
  <c r="H67" i="4"/>
  <c r="H66" i="4"/>
  <c r="H64" i="4"/>
  <c r="H65" i="4"/>
  <c r="G36" i="4"/>
  <c r="G67" i="4"/>
  <c r="G65" i="4"/>
  <c r="G66" i="4"/>
  <c r="G64" i="4"/>
  <c r="J4" i="8"/>
  <c r="F12" i="13"/>
  <c r="F10" i="13"/>
  <c r="I105" i="10"/>
  <c r="I67" i="10"/>
  <c r="I320" i="10"/>
  <c r="J320" i="10" s="1"/>
  <c r="K320" i="10" s="1"/>
  <c r="L320" i="10" s="1"/>
  <c r="E86" i="4"/>
  <c r="E93" i="4"/>
  <c r="F105" i="4"/>
  <c r="H106" i="4"/>
  <c r="F86" i="4"/>
  <c r="G86" i="4"/>
  <c r="F93" i="4"/>
  <c r="G93" i="4"/>
  <c r="F79" i="4"/>
  <c r="G79" i="4"/>
  <c r="E79" i="4"/>
  <c r="J104" i="4"/>
  <c r="J3" i="8"/>
  <c r="H1" i="8"/>
  <c r="F217" i="4"/>
  <c r="F3" i="9"/>
  <c r="F3" i="4"/>
  <c r="H4" i="9"/>
  <c r="H218" i="4"/>
  <c r="H4" i="4"/>
  <c r="H217" i="4"/>
  <c r="H3" i="4"/>
  <c r="H3" i="9"/>
  <c r="H2" i="8"/>
  <c r="F218" i="4"/>
  <c r="F4" i="9"/>
  <c r="F4" i="4"/>
  <c r="G103" i="4"/>
  <c r="E105" i="4"/>
  <c r="F108" i="4"/>
  <c r="J107" i="4"/>
  <c r="I104" i="4"/>
  <c r="F103" i="4"/>
  <c r="F106" i="4"/>
  <c r="H104" i="4"/>
  <c r="H107" i="4"/>
  <c r="J105" i="4"/>
  <c r="F104" i="4"/>
  <c r="I108" i="4"/>
  <c r="H105" i="4"/>
  <c r="J103" i="4"/>
  <c r="G106" i="4"/>
  <c r="I107" i="4"/>
  <c r="E104" i="4"/>
  <c r="F107" i="4"/>
  <c r="H108" i="4"/>
  <c r="K106" i="4"/>
  <c r="L106" i="4"/>
  <c r="E107" i="4"/>
  <c r="G108" i="4"/>
  <c r="I106" i="4"/>
  <c r="K104" i="4"/>
  <c r="L104" i="4"/>
  <c r="H103" i="4"/>
  <c r="G115" i="4"/>
  <c r="G238" i="4" s="1"/>
  <c r="K105" i="4"/>
  <c r="L105" i="4"/>
  <c r="H100" i="4"/>
  <c r="I100" i="4"/>
  <c r="E103" i="4"/>
  <c r="K108" i="4"/>
  <c r="L108" i="4"/>
  <c r="G104" i="4"/>
  <c r="K107" i="4"/>
  <c r="L107" i="4"/>
  <c r="E108" i="4"/>
  <c r="E106" i="4"/>
  <c r="J108" i="4"/>
  <c r="G107" i="4"/>
  <c r="I105" i="4"/>
  <c r="K103" i="4"/>
  <c r="L103" i="4"/>
  <c r="J106" i="4"/>
  <c r="G105" i="4"/>
  <c r="I103" i="4"/>
  <c r="H12" i="4"/>
  <c r="D53" i="3"/>
  <c r="F21" i="11"/>
  <c r="F36" i="11"/>
  <c r="F53" i="3"/>
  <c r="F62" i="3" s="1"/>
  <c r="H21" i="11"/>
  <c r="H36" i="11"/>
  <c r="H35" i="11"/>
  <c r="H20" i="11"/>
  <c r="F56" i="11"/>
  <c r="F35" i="11"/>
  <c r="F20" i="11"/>
  <c r="I200" i="4"/>
  <c r="H202" i="4"/>
  <c r="H234" i="10"/>
  <c r="F57" i="11"/>
  <c r="H138" i="10"/>
  <c r="H100" i="10"/>
  <c r="I13" i="10"/>
  <c r="I360" i="10" s="1"/>
  <c r="H4" i="11"/>
  <c r="F13" i="3"/>
  <c r="F34" i="3" s="1"/>
  <c r="H199" i="10"/>
  <c r="J24" i="10"/>
  <c r="F113" i="4"/>
  <c r="F119" i="4"/>
  <c r="D114" i="4"/>
  <c r="D120" i="4"/>
  <c r="E114" i="4"/>
  <c r="E120" i="4"/>
  <c r="F114" i="4"/>
  <c r="F120" i="4"/>
  <c r="E113" i="4"/>
  <c r="E119" i="4"/>
  <c r="D113" i="4"/>
  <c r="D119" i="4"/>
  <c r="I213" i="4"/>
  <c r="H360" i="10"/>
  <c r="H342" i="10"/>
  <c r="H55" i="10"/>
  <c r="H384" i="10"/>
  <c r="H368" i="10"/>
  <c r="E112" i="4"/>
  <c r="E118" i="4"/>
  <c r="D112" i="4"/>
  <c r="D118" i="4"/>
  <c r="D121" i="4" s="1"/>
  <c r="F112" i="4"/>
  <c r="F118" i="4"/>
  <c r="G3" i="12"/>
  <c r="H56" i="11"/>
  <c r="H305" i="10"/>
  <c r="G4" i="12"/>
  <c r="H57" i="11"/>
  <c r="H265" i="10"/>
  <c r="F296" i="10"/>
  <c r="F298" i="10"/>
  <c r="G294" i="10"/>
  <c r="G298" i="10" s="1"/>
  <c r="G296" i="10"/>
  <c r="F6" i="4"/>
  <c r="F11" i="4" s="1"/>
  <c r="E6" i="4"/>
  <c r="E11" i="4" s="1"/>
  <c r="D6" i="4"/>
  <c r="D11" i="4" s="1"/>
  <c r="E13" i="10"/>
  <c r="F4" i="11"/>
  <c r="F360" i="10"/>
  <c r="H341" i="10"/>
  <c r="H3" i="11"/>
  <c r="F54" i="10"/>
  <c r="F3" i="11"/>
  <c r="F342" i="10"/>
  <c r="K75" i="10"/>
  <c r="L75" i="10" s="1"/>
  <c r="L111" i="10" s="1"/>
  <c r="G183" i="10"/>
  <c r="F384" i="10"/>
  <c r="F100" i="10"/>
  <c r="F234" i="10"/>
  <c r="F138" i="10"/>
  <c r="F305" i="10"/>
  <c r="F55" i="10"/>
  <c r="F199" i="10"/>
  <c r="F265" i="10"/>
  <c r="F368" i="10"/>
  <c r="F264" i="10"/>
  <c r="H137" i="10"/>
  <c r="H139" i="10" s="1"/>
  <c r="F383" i="10"/>
  <c r="E12" i="10"/>
  <c r="F341" i="10"/>
  <c r="I111" i="10"/>
  <c r="F233" i="10"/>
  <c r="I12" i="10"/>
  <c r="E89" i="10"/>
  <c r="H198" i="10"/>
  <c r="H304" i="10"/>
  <c r="H359" i="10"/>
  <c r="G89" i="10"/>
  <c r="H264" i="10"/>
  <c r="C281" i="10" s="1"/>
  <c r="H321" i="10"/>
  <c r="I319" i="10" s="1"/>
  <c r="F99" i="10"/>
  <c r="F198" i="10"/>
  <c r="H223" i="10" s="1"/>
  <c r="H99" i="10"/>
  <c r="H367" i="10"/>
  <c r="F367" i="10"/>
  <c r="F183" i="10"/>
  <c r="F93" i="10" s="1"/>
  <c r="H383" i="10"/>
  <c r="F304" i="10"/>
  <c r="H233" i="10"/>
  <c r="F137" i="10"/>
  <c r="G139" i="10" s="1"/>
  <c r="F359" i="10"/>
  <c r="H54" i="10"/>
  <c r="J19" i="10"/>
  <c r="K19" i="10" s="1"/>
  <c r="E183" i="10"/>
  <c r="E93" i="10" s="1"/>
  <c r="G184" i="10"/>
  <c r="F89" i="10"/>
  <c r="G375" i="10"/>
  <c r="E166" i="4"/>
  <c r="D166" i="4"/>
  <c r="F166" i="4"/>
  <c r="H76" i="4"/>
  <c r="K76" i="4"/>
  <c r="J76" i="4"/>
  <c r="I76" i="4"/>
  <c r="G76" i="4"/>
  <c r="F76" i="4"/>
  <c r="E76" i="4"/>
  <c r="D76" i="4"/>
  <c r="D61" i="4"/>
  <c r="D65" i="4" s="1"/>
  <c r="F61" i="4"/>
  <c r="F67" i="4" s="1"/>
  <c r="E61" i="4"/>
  <c r="H4" i="8" a="1"/>
  <c r="G94" i="10" l="1"/>
  <c r="G93" i="10"/>
  <c r="F121" i="4"/>
  <c r="E121" i="4"/>
  <c r="I114" i="10"/>
  <c r="D66" i="4"/>
  <c r="E36" i="4"/>
  <c r="E67" i="4"/>
  <c r="F64" i="4"/>
  <c r="D36" i="4"/>
  <c r="D67" i="4"/>
  <c r="E66" i="4"/>
  <c r="F65" i="4"/>
  <c r="D64" i="4"/>
  <c r="F66" i="4"/>
  <c r="E64" i="4"/>
  <c r="E65" i="4"/>
  <c r="G100" i="4"/>
  <c r="F36" i="4"/>
  <c r="H4" i="8"/>
  <c r="F13" i="13"/>
  <c r="F15" i="13"/>
  <c r="F16" i="13" s="1"/>
  <c r="J67" i="10"/>
  <c r="J114" i="10" s="1"/>
  <c r="K24" i="10"/>
  <c r="J105" i="10"/>
  <c r="H26" i="9"/>
  <c r="E100" i="4"/>
  <c r="D12" i="10"/>
  <c r="D54" i="10" s="1"/>
  <c r="F1" i="8"/>
  <c r="E3" i="4"/>
  <c r="E217" i="4"/>
  <c r="E3" i="9"/>
  <c r="D13" i="10"/>
  <c r="D265" i="10" s="1"/>
  <c r="F2" i="8"/>
  <c r="E4" i="9"/>
  <c r="E4" i="4"/>
  <c r="E218" i="4"/>
  <c r="F54" i="3"/>
  <c r="G5" i="9"/>
  <c r="G12" i="9" s="1"/>
  <c r="C224" i="10"/>
  <c r="I223" i="10"/>
  <c r="I384" i="10"/>
  <c r="I4" i="9"/>
  <c r="I4" i="4"/>
  <c r="I218" i="4"/>
  <c r="G54" i="3"/>
  <c r="H5" i="9"/>
  <c r="I3" i="9"/>
  <c r="I3" i="4"/>
  <c r="I217" i="4"/>
  <c r="H109" i="4"/>
  <c r="E109" i="4"/>
  <c r="F109" i="4"/>
  <c r="G109" i="4"/>
  <c r="I109" i="4"/>
  <c r="J109" i="4"/>
  <c r="F100" i="4"/>
  <c r="K109" i="4"/>
  <c r="L109" i="4"/>
  <c r="H204" i="4"/>
  <c r="H184" i="4"/>
  <c r="H183" i="4" s="1"/>
  <c r="H164" i="4"/>
  <c r="H163" i="4"/>
  <c r="H211" i="4"/>
  <c r="H165" i="4"/>
  <c r="H193" i="4"/>
  <c r="H24" i="9"/>
  <c r="H130" i="4"/>
  <c r="H12" i="9"/>
  <c r="H132" i="4"/>
  <c r="H13" i="9"/>
  <c r="H131" i="4"/>
  <c r="D17" i="10"/>
  <c r="D41" i="10"/>
  <c r="I12" i="4"/>
  <c r="I234" i="10"/>
  <c r="I342" i="10"/>
  <c r="I57" i="11"/>
  <c r="I265" i="10"/>
  <c r="J13" i="10"/>
  <c r="J265" i="10" s="1"/>
  <c r="I138" i="10"/>
  <c r="I55" i="10"/>
  <c r="I368" i="10"/>
  <c r="I305" i="10"/>
  <c r="E36" i="11"/>
  <c r="E21" i="11"/>
  <c r="I20" i="11"/>
  <c r="I35" i="11"/>
  <c r="G53" i="3"/>
  <c r="G62" i="3" s="1"/>
  <c r="I36" i="11"/>
  <c r="I21" i="11"/>
  <c r="E56" i="11"/>
  <c r="E20" i="11"/>
  <c r="E35" i="11"/>
  <c r="J200" i="4"/>
  <c r="I202" i="4"/>
  <c r="I100" i="10"/>
  <c r="I199" i="10"/>
  <c r="H4" i="12"/>
  <c r="E100" i="10"/>
  <c r="G13" i="3"/>
  <c r="G34" i="3" s="1"/>
  <c r="I4" i="11"/>
  <c r="G14" i="3"/>
  <c r="F14" i="3"/>
  <c r="I208" i="4"/>
  <c r="D152" i="4"/>
  <c r="D236" i="4"/>
  <c r="D147" i="4"/>
  <c r="D132" i="4"/>
  <c r="D131" i="4"/>
  <c r="D146" i="4"/>
  <c r="F153" i="4"/>
  <c r="F237" i="4"/>
  <c r="D153" i="4"/>
  <c r="D237" i="4"/>
  <c r="E146" i="4"/>
  <c r="E131" i="4"/>
  <c r="E152" i="4"/>
  <c r="E236" i="4"/>
  <c r="E132" i="4"/>
  <c r="E147" i="4"/>
  <c r="F131" i="4"/>
  <c r="F146" i="4"/>
  <c r="J213" i="4"/>
  <c r="F147" i="4"/>
  <c r="F132" i="4"/>
  <c r="E153" i="4"/>
  <c r="E237" i="4"/>
  <c r="F152" i="4"/>
  <c r="F236" i="4"/>
  <c r="D151" i="4"/>
  <c r="D235" i="4"/>
  <c r="F145" i="4"/>
  <c r="F130" i="4"/>
  <c r="E145" i="4"/>
  <c r="E130" i="4"/>
  <c r="D145" i="4"/>
  <c r="D130" i="4"/>
  <c r="F151" i="4"/>
  <c r="F235" i="4"/>
  <c r="E151" i="4"/>
  <c r="E235" i="4"/>
  <c r="E305" i="10"/>
  <c r="E265" i="10"/>
  <c r="E199" i="10"/>
  <c r="E57" i="11"/>
  <c r="E342" i="10"/>
  <c r="E360" i="10"/>
  <c r="H3" i="12"/>
  <c r="I56" i="11"/>
  <c r="E384" i="10"/>
  <c r="E368" i="10"/>
  <c r="L298" i="10"/>
  <c r="K111" i="10"/>
  <c r="H296" i="10"/>
  <c r="E234" i="10"/>
  <c r="E138" i="10"/>
  <c r="I341" i="10"/>
  <c r="I3" i="11"/>
  <c r="E233" i="10"/>
  <c r="E3" i="11"/>
  <c r="E55" i="10"/>
  <c r="E4" i="11"/>
  <c r="I137" i="10"/>
  <c r="I139" i="10" s="1"/>
  <c r="E264" i="10"/>
  <c r="J12" i="10"/>
  <c r="E341" i="10"/>
  <c r="I264" i="10"/>
  <c r="C282" i="10" s="1"/>
  <c r="I304" i="10"/>
  <c r="I359" i="10"/>
  <c r="E367" i="10"/>
  <c r="I321" i="10"/>
  <c r="I85" i="10" s="1"/>
  <c r="I99" i="10"/>
  <c r="I198" i="10"/>
  <c r="E137" i="10"/>
  <c r="E383" i="10"/>
  <c r="E304" i="10"/>
  <c r="I383" i="10"/>
  <c r="I233" i="10"/>
  <c r="C257" i="10" s="1"/>
  <c r="E99" i="10"/>
  <c r="E198" i="10"/>
  <c r="I367" i="10"/>
  <c r="E359" i="10"/>
  <c r="I54" i="10"/>
  <c r="E54" i="10"/>
  <c r="J123" i="10"/>
  <c r="I123" i="10"/>
  <c r="H85" i="10"/>
  <c r="G177" i="10"/>
  <c r="G173" i="10"/>
  <c r="G180" i="10" s="1"/>
  <c r="L19" i="10"/>
  <c r="C256" i="10"/>
  <c r="H255" i="10"/>
  <c r="F115" i="4"/>
  <c r="F238" i="4" s="1"/>
  <c r="D115" i="4"/>
  <c r="D238" i="4" s="1"/>
  <c r="E115" i="4"/>
  <c r="E238" i="4" s="1"/>
  <c r="F4" i="8" a="1"/>
  <c r="E37" i="4" l="1"/>
  <c r="F37" i="4"/>
  <c r="G37" i="4"/>
  <c r="F4" i="8"/>
  <c r="J305" i="10"/>
  <c r="F17" i="13"/>
  <c r="F83" i="3" s="1"/>
  <c r="F85" i="3" s="1"/>
  <c r="F101" i="3" s="1"/>
  <c r="J57" i="11"/>
  <c r="J368" i="10"/>
  <c r="J55" i="10"/>
  <c r="J360" i="10"/>
  <c r="J199" i="10"/>
  <c r="K13" i="10"/>
  <c r="K4" i="4" s="1"/>
  <c r="K67" i="10"/>
  <c r="D198" i="10"/>
  <c r="F13" i="4" s="1"/>
  <c r="F15" i="4" s="1"/>
  <c r="L24" i="10"/>
  <c r="L105" i="10" s="1"/>
  <c r="K105" i="10"/>
  <c r="D305" i="10"/>
  <c r="D100" i="10"/>
  <c r="D234" i="10"/>
  <c r="D138" i="10"/>
  <c r="D368" i="10"/>
  <c r="D55" i="10"/>
  <c r="D342" i="10"/>
  <c r="D360" i="10"/>
  <c r="D199" i="10"/>
  <c r="H54" i="3"/>
  <c r="I5" i="9"/>
  <c r="I165" i="4"/>
  <c r="D233" i="10"/>
  <c r="E17" i="9" s="1"/>
  <c r="D36" i="11"/>
  <c r="D2" i="8"/>
  <c r="D57" i="11"/>
  <c r="D384" i="10"/>
  <c r="D4" i="11"/>
  <c r="D218" i="4"/>
  <c r="D4" i="9"/>
  <c r="D4" i="4"/>
  <c r="D21" i="11"/>
  <c r="D35" i="11"/>
  <c r="D56" i="11"/>
  <c r="D1" i="8"/>
  <c r="D217" i="4"/>
  <c r="G28" i="12" s="1"/>
  <c r="G30" i="12" s="1"/>
  <c r="D383" i="10"/>
  <c r="D3" i="9"/>
  <c r="E203" i="10" s="1"/>
  <c r="D3" i="4"/>
  <c r="H43" i="12" s="1"/>
  <c r="D20" i="11"/>
  <c r="D3" i="11"/>
  <c r="D341" i="10"/>
  <c r="D304" i="10"/>
  <c r="D367" i="10"/>
  <c r="D137" i="10"/>
  <c r="E139" i="10" s="1"/>
  <c r="E5" i="9" s="1"/>
  <c r="H13" i="3"/>
  <c r="H34" i="3" s="1"/>
  <c r="J218" i="4"/>
  <c r="J4" i="9"/>
  <c r="J4" i="4"/>
  <c r="D264" i="10"/>
  <c r="D99" i="10"/>
  <c r="C225" i="10"/>
  <c r="J223" i="10"/>
  <c r="J3" i="9"/>
  <c r="J3" i="4"/>
  <c r="J217" i="4"/>
  <c r="D359" i="10"/>
  <c r="I13" i="9"/>
  <c r="I12" i="9"/>
  <c r="I130" i="4"/>
  <c r="I24" i="9"/>
  <c r="I26" i="9"/>
  <c r="I163" i="4"/>
  <c r="I211" i="4"/>
  <c r="I193" i="4"/>
  <c r="I164" i="4"/>
  <c r="H182" i="4"/>
  <c r="H180" i="4" s="1"/>
  <c r="H196" i="4" s="1"/>
  <c r="I131" i="4"/>
  <c r="I132" i="4"/>
  <c r="I204" i="4"/>
  <c r="I184" i="4"/>
  <c r="I183" i="4" s="1"/>
  <c r="J12" i="4"/>
  <c r="D20" i="10"/>
  <c r="D44" i="10" s="1"/>
  <c r="D43" i="10"/>
  <c r="J100" i="10"/>
  <c r="J384" i="10"/>
  <c r="I4" i="12"/>
  <c r="J4" i="11"/>
  <c r="J234" i="10"/>
  <c r="J138" i="10"/>
  <c r="J342" i="10"/>
  <c r="J36" i="11"/>
  <c r="J21" i="11"/>
  <c r="H53" i="3"/>
  <c r="H62" i="3" s="1"/>
  <c r="F139" i="10"/>
  <c r="F5" i="9" s="1"/>
  <c r="F12" i="9" s="1"/>
  <c r="J35" i="11"/>
  <c r="J20" i="11"/>
  <c r="K200" i="4"/>
  <c r="J202" i="4"/>
  <c r="H11" i="9"/>
  <c r="H14" i="3"/>
  <c r="J208" i="4"/>
  <c r="H237" i="4"/>
  <c r="K213" i="4"/>
  <c r="J99" i="10"/>
  <c r="I3" i="12"/>
  <c r="J56" i="11"/>
  <c r="I255" i="10"/>
  <c r="I296" i="10"/>
  <c r="J296" i="10" s="1"/>
  <c r="K296" i="10" s="1"/>
  <c r="L296" i="10" s="1"/>
  <c r="H293" i="10"/>
  <c r="F18" i="3" s="1"/>
  <c r="J359" i="10"/>
  <c r="J3" i="11"/>
  <c r="J383" i="10"/>
  <c r="K12" i="10"/>
  <c r="J341" i="10"/>
  <c r="J198" i="10"/>
  <c r="J233" i="10"/>
  <c r="C258" i="10" s="1"/>
  <c r="J367" i="10"/>
  <c r="J137" i="10"/>
  <c r="J139" i="10" s="1"/>
  <c r="J54" i="10"/>
  <c r="J264" i="10"/>
  <c r="C283" i="10" s="1"/>
  <c r="J304" i="10"/>
  <c r="J319" i="10"/>
  <c r="J321" i="10" s="1"/>
  <c r="J85" i="10" s="1"/>
  <c r="E142" i="4"/>
  <c r="D142" i="4"/>
  <c r="D4" i="8" a="1"/>
  <c r="K114" i="10" l="1"/>
  <c r="D4" i="8"/>
  <c r="G395" i="10"/>
  <c r="K360" i="10"/>
  <c r="K384" i="10"/>
  <c r="K305" i="10"/>
  <c r="I13" i="3"/>
  <c r="I34" i="3" s="1"/>
  <c r="K57" i="11"/>
  <c r="K138" i="10"/>
  <c r="K368" i="10"/>
  <c r="J4" i="12"/>
  <c r="K218" i="4"/>
  <c r="K265" i="10"/>
  <c r="K199" i="10"/>
  <c r="K4" i="11"/>
  <c r="K36" i="11"/>
  <c r="K55" i="10"/>
  <c r="K342" i="10"/>
  <c r="K21" i="11"/>
  <c r="K100" i="10"/>
  <c r="K234" i="10"/>
  <c r="L13" i="10"/>
  <c r="L21" i="11" s="1"/>
  <c r="I53" i="3"/>
  <c r="I62" i="3" s="1"/>
  <c r="K4" i="9"/>
  <c r="E13" i="4"/>
  <c r="E15" i="4" s="1"/>
  <c r="E202" i="10" s="1"/>
  <c r="E16" i="9"/>
  <c r="G13" i="4"/>
  <c r="G16" i="9"/>
  <c r="F16" i="9"/>
  <c r="F18" i="9" s="1"/>
  <c r="F203" i="10" s="1"/>
  <c r="D23" i="10"/>
  <c r="D25" i="10" s="1"/>
  <c r="D38" i="10"/>
  <c r="E30" i="3" s="1"/>
  <c r="H28" i="12"/>
  <c r="H30" i="12" s="1"/>
  <c r="E14" i="4"/>
  <c r="E16" i="4" s="1"/>
  <c r="E237" i="10" s="1"/>
  <c r="L67" i="10"/>
  <c r="L114" i="10" s="1"/>
  <c r="J26" i="9"/>
  <c r="E60" i="11"/>
  <c r="H38" i="12"/>
  <c r="H39" i="12" s="1"/>
  <c r="E238" i="10"/>
  <c r="H33" i="12"/>
  <c r="H32" i="12" s="1"/>
  <c r="G315" i="10"/>
  <c r="G5" i="12"/>
  <c r="H220" i="4" s="1"/>
  <c r="H232" i="4" s="1"/>
  <c r="H114" i="4" s="1"/>
  <c r="G29" i="12"/>
  <c r="G27" i="12"/>
  <c r="I54" i="3"/>
  <c r="J5" i="9"/>
  <c r="E6" i="11"/>
  <c r="D59" i="11"/>
  <c r="D60" i="11"/>
  <c r="D58" i="11"/>
  <c r="D7" i="11"/>
  <c r="D6" i="11"/>
  <c r="D5" i="11"/>
  <c r="E59" i="11"/>
  <c r="D16" i="9"/>
  <c r="D17" i="9"/>
  <c r="D203" i="10"/>
  <c r="C226" i="10"/>
  <c r="K223" i="10"/>
  <c r="K217" i="4"/>
  <c r="K3" i="9"/>
  <c r="K3" i="4"/>
  <c r="D238" i="10"/>
  <c r="G17" i="9"/>
  <c r="G14" i="4"/>
  <c r="F17" i="9"/>
  <c r="F19" i="9" s="1"/>
  <c r="F238" i="10" s="1"/>
  <c r="F14" i="4"/>
  <c r="F16" i="4" s="1"/>
  <c r="F237" i="10" s="1"/>
  <c r="D13" i="4"/>
  <c r="D15" i="4" s="1"/>
  <c r="D202" i="10" s="1"/>
  <c r="D14" i="4"/>
  <c r="D16" i="4" s="1"/>
  <c r="D237" i="10" s="1"/>
  <c r="G7" i="11"/>
  <c r="G60" i="11"/>
  <c r="G5" i="11"/>
  <c r="G59" i="11"/>
  <c r="F60" i="11"/>
  <c r="G33" i="12"/>
  <c r="F5" i="11"/>
  <c r="F7" i="11"/>
  <c r="F59" i="11"/>
  <c r="F6" i="11"/>
  <c r="F58" i="11"/>
  <c r="G38" i="12"/>
  <c r="G43" i="12"/>
  <c r="H59" i="11"/>
  <c r="E5" i="11"/>
  <c r="F202" i="10"/>
  <c r="E7" i="11"/>
  <c r="I59" i="11"/>
  <c r="L4" i="9"/>
  <c r="F173" i="10"/>
  <c r="F180" i="10" s="1"/>
  <c r="J59" i="11"/>
  <c r="E58" i="11"/>
  <c r="J164" i="4"/>
  <c r="I182" i="4"/>
  <c r="I180" i="4" s="1"/>
  <c r="I196" i="4" s="1"/>
  <c r="I43" i="12"/>
  <c r="I38" i="12"/>
  <c r="I33" i="12"/>
  <c r="I28" i="12"/>
  <c r="I30" i="12" s="1"/>
  <c r="J131" i="4"/>
  <c r="J132" i="4"/>
  <c r="J184" i="4"/>
  <c r="J183" i="4" s="1"/>
  <c r="J12" i="9"/>
  <c r="J24" i="9"/>
  <c r="J193" i="4"/>
  <c r="J204" i="4"/>
  <c r="J211" i="4"/>
  <c r="J165" i="4"/>
  <c r="H45" i="12"/>
  <c r="H44" i="12"/>
  <c r="H42" i="12"/>
  <c r="H8" i="12" s="1"/>
  <c r="I35" i="4" s="1"/>
  <c r="J130" i="4"/>
  <c r="J13" i="9"/>
  <c r="J163" i="4"/>
  <c r="K202" i="4"/>
  <c r="L200" i="4"/>
  <c r="L202" i="4" s="1"/>
  <c r="K12" i="4"/>
  <c r="L213" i="4"/>
  <c r="F17" i="10"/>
  <c r="F146" i="10"/>
  <c r="F151" i="10" s="1"/>
  <c r="F176" i="10" s="1"/>
  <c r="F177" i="10"/>
  <c r="E14" i="3"/>
  <c r="E177" i="10"/>
  <c r="E173" i="10"/>
  <c r="E180" i="10" s="1"/>
  <c r="D14" i="3"/>
  <c r="D54" i="3"/>
  <c r="E54" i="3"/>
  <c r="K20" i="11"/>
  <c r="K35" i="11"/>
  <c r="H195" i="4"/>
  <c r="H8" i="9"/>
  <c r="I11" i="9"/>
  <c r="I14" i="3"/>
  <c r="K208" i="4"/>
  <c r="J255" i="10"/>
  <c r="H236" i="4"/>
  <c r="H235" i="4"/>
  <c r="I237" i="4"/>
  <c r="K3" i="11"/>
  <c r="J3" i="12"/>
  <c r="K56" i="11"/>
  <c r="K99" i="10"/>
  <c r="L12" i="10"/>
  <c r="K367" i="10"/>
  <c r="K359" i="10"/>
  <c r="K198" i="10"/>
  <c r="L223" i="10" s="1"/>
  <c r="K304" i="10"/>
  <c r="K54" i="10"/>
  <c r="K383" i="10"/>
  <c r="K137" i="10"/>
  <c r="K139" i="10" s="1"/>
  <c r="K233" i="10"/>
  <c r="C259" i="10" s="1"/>
  <c r="K341" i="10"/>
  <c r="K264" i="10"/>
  <c r="C284" i="10" s="1"/>
  <c r="K319" i="10"/>
  <c r="K321" i="10" s="1"/>
  <c r="L319" i="10" s="1"/>
  <c r="L321" i="10" s="1"/>
  <c r="L85" i="10" s="1"/>
  <c r="K123" i="10"/>
  <c r="H122" i="10"/>
  <c r="L36" i="11" l="1"/>
  <c r="J13" i="3"/>
  <c r="D30" i="10"/>
  <c r="D32" i="10" s="1"/>
  <c r="D45" i="10" s="1"/>
  <c r="D51" i="10"/>
  <c r="H7" i="11"/>
  <c r="H9" i="9"/>
  <c r="L342" i="10"/>
  <c r="H13" i="4"/>
  <c r="I13" i="4" s="1"/>
  <c r="K4" i="12"/>
  <c r="L218" i="4"/>
  <c r="L265" i="10"/>
  <c r="L4" i="4"/>
  <c r="L368" i="10"/>
  <c r="L57" i="11"/>
  <c r="L360" i="10"/>
  <c r="J34" i="3"/>
  <c r="C48" i="3" s="1"/>
  <c r="J53" i="3"/>
  <c r="J62" i="3" s="1"/>
  <c r="C69" i="3" s="1"/>
  <c r="L100" i="10"/>
  <c r="L199" i="10"/>
  <c r="L305" i="10"/>
  <c r="L4" i="11"/>
  <c r="L138" i="10"/>
  <c r="L384" i="10"/>
  <c r="L55" i="10"/>
  <c r="L234" i="10"/>
  <c r="H5" i="12"/>
  <c r="I220" i="4" s="1"/>
  <c r="I232" i="4" s="1"/>
  <c r="I114" i="4" s="1"/>
  <c r="I23" i="4" s="1"/>
  <c r="H29" i="12"/>
  <c r="H27" i="12"/>
  <c r="H34" i="12"/>
  <c r="E72" i="11"/>
  <c r="H37" i="12"/>
  <c r="H7" i="12"/>
  <c r="I34" i="4" s="1"/>
  <c r="H6" i="12"/>
  <c r="I33" i="4" s="1"/>
  <c r="E71" i="11"/>
  <c r="H35" i="12"/>
  <c r="K26" i="9"/>
  <c r="H40" i="12"/>
  <c r="K59" i="11"/>
  <c r="E61" i="11"/>
  <c r="E65" i="11" s="1"/>
  <c r="H203" i="4"/>
  <c r="G72" i="11"/>
  <c r="E70" i="11"/>
  <c r="H14" i="4"/>
  <c r="I14" i="4" s="1"/>
  <c r="F178" i="10"/>
  <c r="F181" i="10" s="1"/>
  <c r="F70" i="11"/>
  <c r="F61" i="11"/>
  <c r="F64" i="11" s="1"/>
  <c r="D72" i="11"/>
  <c r="J54" i="3"/>
  <c r="K5" i="9"/>
  <c r="L217" i="4"/>
  <c r="L3" i="4"/>
  <c r="N73" i="4" s="1"/>
  <c r="L3" i="9"/>
  <c r="E9" i="11"/>
  <c r="E12" i="11" s="1"/>
  <c r="D71" i="11"/>
  <c r="D61" i="11"/>
  <c r="D66" i="11" s="1"/>
  <c r="D70" i="11"/>
  <c r="F71" i="11"/>
  <c r="F9" i="11"/>
  <c r="D9" i="11"/>
  <c r="D15" i="11" s="1"/>
  <c r="G35" i="12"/>
  <c r="G32" i="12"/>
  <c r="G34" i="12"/>
  <c r="G6" i="12"/>
  <c r="H33" i="4" s="1"/>
  <c r="G44" i="12"/>
  <c r="G45" i="12"/>
  <c r="G42" i="12"/>
  <c r="G8" i="12" s="1"/>
  <c r="H35" i="4" s="1"/>
  <c r="H23" i="4" s="1"/>
  <c r="F72" i="11"/>
  <c r="H112" i="4"/>
  <c r="K130" i="4"/>
  <c r="K211" i="4"/>
  <c r="J182" i="4"/>
  <c r="J180" i="4" s="1"/>
  <c r="J196" i="4" s="1"/>
  <c r="K13" i="9"/>
  <c r="K163" i="4"/>
  <c r="K164" i="4"/>
  <c r="K132" i="4"/>
  <c r="I40" i="12"/>
  <c r="I37" i="12"/>
  <c r="I7" i="12" s="1"/>
  <c r="J34" i="4" s="1"/>
  <c r="I39" i="12"/>
  <c r="I45" i="12"/>
  <c r="I8" i="12"/>
  <c r="J35" i="4" s="1"/>
  <c r="I44" i="12"/>
  <c r="I42" i="12"/>
  <c r="K12" i="9"/>
  <c r="K131" i="4"/>
  <c r="K24" i="9"/>
  <c r="K204" i="4"/>
  <c r="K165" i="4"/>
  <c r="J38" i="12"/>
  <c r="J43" i="12"/>
  <c r="J33" i="12"/>
  <c r="J28" i="12"/>
  <c r="J30" i="12" s="1"/>
  <c r="K193" i="4"/>
  <c r="I29" i="12"/>
  <c r="I27" i="12"/>
  <c r="I5" i="12"/>
  <c r="J220" i="4" s="1"/>
  <c r="K184" i="4"/>
  <c r="K183" i="4" s="1"/>
  <c r="I34" i="12"/>
  <c r="I32" i="12"/>
  <c r="I35" i="12"/>
  <c r="I6" i="12"/>
  <c r="J33" i="4" s="1"/>
  <c r="L12" i="4"/>
  <c r="D35" i="10"/>
  <c r="D48" i="10"/>
  <c r="L208" i="4"/>
  <c r="G151" i="4"/>
  <c r="G118" i="4"/>
  <c r="F43" i="10"/>
  <c r="F20" i="10"/>
  <c r="F44" i="10" s="1"/>
  <c r="H23" i="9"/>
  <c r="H39" i="11" s="1"/>
  <c r="L20" i="11"/>
  <c r="L35" i="11"/>
  <c r="I195" i="4"/>
  <c r="I8" i="9"/>
  <c r="J11" i="9"/>
  <c r="J14" i="3"/>
  <c r="C227" i="10"/>
  <c r="J237" i="4"/>
  <c r="I236" i="4"/>
  <c r="H113" i="4"/>
  <c r="I235" i="4"/>
  <c r="H126" i="4"/>
  <c r="H153" i="4" s="1"/>
  <c r="L3" i="11"/>
  <c r="L56" i="11"/>
  <c r="K3" i="12"/>
  <c r="K255" i="10"/>
  <c r="L304" i="10"/>
  <c r="L359" i="10"/>
  <c r="L383" i="10"/>
  <c r="L198" i="10"/>
  <c r="C228" i="10" s="1"/>
  <c r="L99" i="10"/>
  <c r="L341" i="10"/>
  <c r="L137" i="10"/>
  <c r="L139" i="10" s="1"/>
  <c r="L5" i="9" s="1"/>
  <c r="L264" i="10"/>
  <c r="C285" i="10" s="1"/>
  <c r="L233" i="10"/>
  <c r="L255" i="10" s="1"/>
  <c r="L54" i="10"/>
  <c r="L367" i="10"/>
  <c r="L123" i="10"/>
  <c r="K85" i="10"/>
  <c r="D47" i="10" l="1"/>
  <c r="G130" i="4"/>
  <c r="N43" i="4"/>
  <c r="N53" i="4"/>
  <c r="N41" i="4"/>
  <c r="N72" i="4"/>
  <c r="N15" i="9"/>
  <c r="N10" i="9"/>
  <c r="N47" i="4"/>
  <c r="N46" i="4"/>
  <c r="N76" i="4"/>
  <c r="N56" i="4"/>
  <c r="N75" i="4"/>
  <c r="N54" i="4"/>
  <c r="N70" i="4"/>
  <c r="N49" i="4"/>
  <c r="N55" i="4"/>
  <c r="N40" i="4"/>
  <c r="N61" i="4"/>
  <c r="N57" i="4"/>
  <c r="N42" i="4"/>
  <c r="N59" i="4"/>
  <c r="N58" i="4"/>
  <c r="N71" i="4"/>
  <c r="N44" i="4"/>
  <c r="N50" i="4"/>
  <c r="N74" i="4"/>
  <c r="N51" i="4"/>
  <c r="N48" i="4"/>
  <c r="C68" i="3"/>
  <c r="H51" i="11"/>
  <c r="I7" i="11"/>
  <c r="I9" i="9"/>
  <c r="H15" i="4"/>
  <c r="H202" i="10" s="1"/>
  <c r="C76" i="3"/>
  <c r="F69" i="3"/>
  <c r="F76" i="3"/>
  <c r="F41" i="3"/>
  <c r="F48" i="3"/>
  <c r="C40" i="3"/>
  <c r="C41" i="3"/>
  <c r="I203" i="4"/>
  <c r="F23" i="10"/>
  <c r="F25" i="10" s="1"/>
  <c r="F38" i="10"/>
  <c r="G30" i="3" s="1"/>
  <c r="L59" i="11"/>
  <c r="I36" i="4"/>
  <c r="E64" i="11"/>
  <c r="E66" i="11"/>
  <c r="L163" i="4"/>
  <c r="D12" i="11"/>
  <c r="E73" i="11"/>
  <c r="E15" i="11"/>
  <c r="D14" i="11"/>
  <c r="D13" i="11"/>
  <c r="H16" i="4"/>
  <c r="H237" i="10" s="1"/>
  <c r="D73" i="11"/>
  <c r="E14" i="11"/>
  <c r="E13" i="11"/>
  <c r="F66" i="11"/>
  <c r="F73" i="11"/>
  <c r="F65" i="11"/>
  <c r="D64" i="11"/>
  <c r="J13" i="4"/>
  <c r="I15" i="4"/>
  <c r="I202" i="10" s="1"/>
  <c r="H21" i="4"/>
  <c r="D65" i="11"/>
  <c r="J14" i="4"/>
  <c r="I16" i="4"/>
  <c r="I237" i="10" s="1"/>
  <c r="F13" i="11"/>
  <c r="F15" i="11"/>
  <c r="F12" i="11"/>
  <c r="F14" i="11"/>
  <c r="H124" i="4"/>
  <c r="H151" i="4" s="1"/>
  <c r="I112" i="4"/>
  <c r="I21" i="4" s="1"/>
  <c r="J36" i="4"/>
  <c r="K182" i="4"/>
  <c r="K180" i="4" s="1"/>
  <c r="K196" i="4" s="1"/>
  <c r="L12" i="9"/>
  <c r="L11" i="9" s="1"/>
  <c r="N11" i="9" s="1"/>
  <c r="J232" i="4"/>
  <c r="J114" i="4" s="1"/>
  <c r="J23" i="4" s="1"/>
  <c r="J203" i="4"/>
  <c r="L164" i="4"/>
  <c r="J40" i="12"/>
  <c r="J37" i="12"/>
  <c r="J7" i="12" s="1"/>
  <c r="K34" i="4" s="1"/>
  <c r="J39" i="12"/>
  <c r="L26" i="9"/>
  <c r="L131" i="4"/>
  <c r="K28" i="12"/>
  <c r="K30" i="12" s="1"/>
  <c r="K38" i="12"/>
  <c r="K43" i="12"/>
  <c r="K33" i="12"/>
  <c r="L193" i="4"/>
  <c r="L13" i="9"/>
  <c r="L211" i="4"/>
  <c r="F41" i="10"/>
  <c r="E41" i="10"/>
  <c r="E17" i="10"/>
  <c r="E146" i="10"/>
  <c r="E151" i="10" s="1"/>
  <c r="E176" i="10" s="1"/>
  <c r="E178" i="10" s="1"/>
  <c r="E181" i="10" s="1"/>
  <c r="L24" i="9"/>
  <c r="L165" i="4"/>
  <c r="J45" i="12"/>
  <c r="J8" i="12"/>
  <c r="K35" i="4" s="1"/>
  <c r="J42" i="12"/>
  <c r="J44" i="12"/>
  <c r="L184" i="4"/>
  <c r="L183" i="4" s="1"/>
  <c r="N183" i="4" s="1"/>
  <c r="L204" i="4"/>
  <c r="N204" i="4" s="1"/>
  <c r="L132" i="4"/>
  <c r="J27" i="12"/>
  <c r="J29" i="12"/>
  <c r="J5" i="12"/>
  <c r="K220" i="4" s="1"/>
  <c r="J34" i="12"/>
  <c r="J35" i="12"/>
  <c r="J32" i="12"/>
  <c r="J6" i="12"/>
  <c r="K33" i="4" s="1"/>
  <c r="L130" i="4"/>
  <c r="D309" i="10"/>
  <c r="D313" i="10" s="1"/>
  <c r="D386" i="10"/>
  <c r="G153" i="4"/>
  <c r="G120" i="4"/>
  <c r="G132" i="4" s="1"/>
  <c r="G152" i="4"/>
  <c r="G119" i="4"/>
  <c r="G121" i="4" s="1"/>
  <c r="H22" i="9"/>
  <c r="I23" i="9"/>
  <c r="I39" i="11" s="1"/>
  <c r="J195" i="4"/>
  <c r="J8" i="9"/>
  <c r="J235" i="4"/>
  <c r="K235" i="4" s="1"/>
  <c r="G160" i="4"/>
  <c r="J236" i="4"/>
  <c r="I113" i="4"/>
  <c r="I22" i="4" s="1"/>
  <c r="I126" i="4"/>
  <c r="I153" i="4" s="1"/>
  <c r="K237" i="4"/>
  <c r="H120" i="4"/>
  <c r="H147" i="4" s="1"/>
  <c r="H159" i="4"/>
  <c r="H125" i="4"/>
  <c r="H152" i="4" s="1"/>
  <c r="C260" i="10"/>
  <c r="G145" i="4"/>
  <c r="K11" i="9"/>
  <c r="F30" i="10" l="1"/>
  <c r="F47" i="10" s="1"/>
  <c r="F51" i="10"/>
  <c r="L182" i="4"/>
  <c r="N182" i="4" s="1"/>
  <c r="F32" i="10"/>
  <c r="I51" i="11"/>
  <c r="J7" i="11"/>
  <c r="J9" i="9"/>
  <c r="H118" i="4"/>
  <c r="H145" i="4" s="1"/>
  <c r="E67" i="11"/>
  <c r="J37" i="4"/>
  <c r="E16" i="11"/>
  <c r="D16" i="11"/>
  <c r="D67" i="11"/>
  <c r="H157" i="4"/>
  <c r="K13" i="4"/>
  <c r="J15" i="4"/>
  <c r="J202" i="10" s="1"/>
  <c r="K14" i="4"/>
  <c r="J16" i="4"/>
  <c r="J237" i="10" s="1"/>
  <c r="F67" i="11"/>
  <c r="F16" i="11"/>
  <c r="G147" i="4"/>
  <c r="I124" i="4"/>
  <c r="I151" i="4" s="1"/>
  <c r="K195" i="4"/>
  <c r="I24" i="4"/>
  <c r="K36" i="4"/>
  <c r="K37" i="4" s="1"/>
  <c r="L8" i="9"/>
  <c r="N8" i="9" s="1"/>
  <c r="K232" i="4"/>
  <c r="K112" i="4" s="1"/>
  <c r="K21" i="4" s="1"/>
  <c r="K203" i="4"/>
  <c r="E43" i="10"/>
  <c r="E20" i="10"/>
  <c r="E44" i="10" s="1"/>
  <c r="K45" i="12"/>
  <c r="K44" i="12"/>
  <c r="K8" i="12"/>
  <c r="L35" i="4" s="1"/>
  <c r="K42" i="12"/>
  <c r="K37" i="12"/>
  <c r="K40" i="12"/>
  <c r="K7" i="12"/>
  <c r="L34" i="4" s="1"/>
  <c r="K39" i="12"/>
  <c r="K29" i="12"/>
  <c r="K27" i="12"/>
  <c r="K5" i="12"/>
  <c r="L220" i="4" s="1"/>
  <c r="N220" i="4" s="1"/>
  <c r="L27" i="9"/>
  <c r="K32" i="12"/>
  <c r="K34" i="12"/>
  <c r="K35" i="12"/>
  <c r="K6" i="12"/>
  <c r="L33" i="4" s="1"/>
  <c r="G166" i="4"/>
  <c r="G58" i="11"/>
  <c r="L235" i="4"/>
  <c r="L237" i="4"/>
  <c r="D391" i="10"/>
  <c r="D388" i="10"/>
  <c r="G146" i="4"/>
  <c r="G131" i="4"/>
  <c r="H24" i="11"/>
  <c r="F35" i="10"/>
  <c r="F48" i="10"/>
  <c r="I22" i="9"/>
  <c r="I24" i="11" s="1"/>
  <c r="J23" i="9"/>
  <c r="J39" i="11" s="1"/>
  <c r="K8" i="9"/>
  <c r="J112" i="4"/>
  <c r="J21" i="4" s="1"/>
  <c r="I125" i="4"/>
  <c r="I152" i="4" s="1"/>
  <c r="I159" i="4"/>
  <c r="I120" i="4"/>
  <c r="I147" i="4" s="1"/>
  <c r="K236" i="4"/>
  <c r="J113" i="4"/>
  <c r="J22" i="4" s="1"/>
  <c r="J126" i="4"/>
  <c r="J153" i="4" s="1"/>
  <c r="I118" i="4"/>
  <c r="I157" i="4"/>
  <c r="F45" i="10" l="1"/>
  <c r="L180" i="4"/>
  <c r="N180" i="4" s="1"/>
  <c r="J51" i="11"/>
  <c r="L7" i="11"/>
  <c r="L9" i="9"/>
  <c r="K7" i="11"/>
  <c r="K9" i="9"/>
  <c r="I30" i="4"/>
  <c r="I29" i="4"/>
  <c r="I27" i="4"/>
  <c r="I28" i="4"/>
  <c r="E23" i="10"/>
  <c r="E25" i="10" s="1"/>
  <c r="E38" i="10"/>
  <c r="F30" i="3" s="1"/>
  <c r="L14" i="4"/>
  <c r="L16" i="4" s="1"/>
  <c r="L237" i="10" s="1"/>
  <c r="K16" i="4"/>
  <c r="K237" i="10" s="1"/>
  <c r="L13" i="4"/>
  <c r="L15" i="4" s="1"/>
  <c r="L202" i="10" s="1"/>
  <c r="K15" i="4"/>
  <c r="K202" i="10" s="1"/>
  <c r="K114" i="4"/>
  <c r="K23" i="4" s="1"/>
  <c r="L25" i="9"/>
  <c r="L23" i="9"/>
  <c r="L39" i="11" s="1"/>
  <c r="L36" i="4"/>
  <c r="L232" i="4"/>
  <c r="L114" i="4" s="1"/>
  <c r="N114" i="4" s="1"/>
  <c r="L203" i="4"/>
  <c r="N203" i="4" s="1"/>
  <c r="J24" i="4"/>
  <c r="J27" i="4" s="1"/>
  <c r="K124" i="4"/>
  <c r="K151" i="4" s="1"/>
  <c r="G61" i="11"/>
  <c r="G64" i="11" s="1"/>
  <c r="G70" i="11"/>
  <c r="K113" i="4"/>
  <c r="K22" i="4" s="1"/>
  <c r="L236" i="4"/>
  <c r="F309" i="10"/>
  <c r="F313" i="10" s="1"/>
  <c r="F386" i="10"/>
  <c r="J22" i="9"/>
  <c r="J24" i="11" s="1"/>
  <c r="K23" i="9"/>
  <c r="K39" i="11" s="1"/>
  <c r="J124" i="4"/>
  <c r="J151" i="4" s="1"/>
  <c r="J118" i="4"/>
  <c r="J125" i="4"/>
  <c r="J152" i="4" s="1"/>
  <c r="J159" i="4"/>
  <c r="J120" i="4"/>
  <c r="J147" i="4" s="1"/>
  <c r="I119" i="4"/>
  <c r="I146" i="4" s="1"/>
  <c r="I158" i="4"/>
  <c r="I160" i="4" s="1"/>
  <c r="I58" i="11" s="1"/>
  <c r="I145" i="4"/>
  <c r="K157" i="4"/>
  <c r="K118" i="4"/>
  <c r="L60" i="11" l="1"/>
  <c r="N25" i="9"/>
  <c r="L196" i="4"/>
  <c r="L195" i="4" s="1"/>
  <c r="E30" i="10"/>
  <c r="E47" i="10" s="1"/>
  <c r="E51" i="10"/>
  <c r="L37" i="4"/>
  <c r="L51" i="11"/>
  <c r="K51" i="11"/>
  <c r="K120" i="4"/>
  <c r="K147" i="4" s="1"/>
  <c r="J30" i="4"/>
  <c r="J29" i="4"/>
  <c r="J28" i="4"/>
  <c r="K159" i="4"/>
  <c r="K24" i="4"/>
  <c r="K29" i="4" s="1"/>
  <c r="L113" i="4"/>
  <c r="N113" i="4" s="1"/>
  <c r="K126" i="4"/>
  <c r="K153" i="4" s="1"/>
  <c r="L22" i="9"/>
  <c r="L24" i="11" s="1"/>
  <c r="L23" i="4"/>
  <c r="N23" i="4" s="1"/>
  <c r="L126" i="4"/>
  <c r="N126" i="4" s="1"/>
  <c r="L199" i="4"/>
  <c r="N199" i="4" s="1"/>
  <c r="L205" i="4"/>
  <c r="L112" i="4"/>
  <c r="N112" i="4" s="1"/>
  <c r="G65" i="11"/>
  <c r="G66" i="11"/>
  <c r="K125" i="4"/>
  <c r="K152" i="4" s="1"/>
  <c r="F388" i="10"/>
  <c r="F391" i="10"/>
  <c r="K22" i="9"/>
  <c r="K24" i="11" s="1"/>
  <c r="J157" i="4"/>
  <c r="I121" i="4"/>
  <c r="I37" i="11" s="1"/>
  <c r="J119" i="4"/>
  <c r="J146" i="4" s="1"/>
  <c r="J158" i="4"/>
  <c r="K158" i="4"/>
  <c r="K119" i="4"/>
  <c r="K146" i="4" s="1"/>
  <c r="K145" i="4"/>
  <c r="J145" i="4"/>
  <c r="E32" i="10" l="1"/>
  <c r="L153" i="4"/>
  <c r="N153" i="4" s="1"/>
  <c r="L22" i="4"/>
  <c r="N22" i="4" s="1"/>
  <c r="L120" i="4"/>
  <c r="N120" i="4" s="1"/>
  <c r="K30" i="4"/>
  <c r="K27" i="4"/>
  <c r="K28" i="4"/>
  <c r="E35" i="10"/>
  <c r="E309" i="10" s="1"/>
  <c r="E313" i="10" s="1"/>
  <c r="E45" i="10"/>
  <c r="E48" i="10"/>
  <c r="L125" i="4"/>
  <c r="N125" i="4" s="1"/>
  <c r="K160" i="4"/>
  <c r="K58" i="11" s="1"/>
  <c r="G67" i="11"/>
  <c r="L159" i="4"/>
  <c r="N159" i="4" s="1"/>
  <c r="L124" i="4"/>
  <c r="N124" i="4" s="1"/>
  <c r="L21" i="4"/>
  <c r="N21" i="4" s="1"/>
  <c r="L206" i="4"/>
  <c r="L177" i="4"/>
  <c r="J160" i="4"/>
  <c r="J58" i="11" s="1"/>
  <c r="K121" i="4"/>
  <c r="K37" i="11" s="1"/>
  <c r="J121" i="4"/>
  <c r="J37" i="11" s="1"/>
  <c r="H3" i="8"/>
  <c r="E42" i="10" l="1"/>
  <c r="F42" i="10"/>
  <c r="L158" i="4"/>
  <c r="N158" i="4" s="1"/>
  <c r="L23" i="11"/>
  <c r="L152" i="4"/>
  <c r="N152" i="4" s="1"/>
  <c r="L151" i="4"/>
  <c r="N151" i="4" s="1"/>
  <c r="L147" i="4"/>
  <c r="N147" i="4" s="1"/>
  <c r="L119" i="4"/>
  <c r="N119" i="4" s="1"/>
  <c r="L24" i="4"/>
  <c r="N24" i="4" s="1"/>
  <c r="E386" i="10"/>
  <c r="E396" i="10" s="1"/>
  <c r="F50" i="10"/>
  <c r="F395" i="10"/>
  <c r="F315" i="10"/>
  <c r="L157" i="4"/>
  <c r="N157" i="4" s="1"/>
  <c r="L118" i="4"/>
  <c r="N118" i="4" s="1"/>
  <c r="L210" i="4"/>
  <c r="N210" i="4" s="1"/>
  <c r="L6" i="11"/>
  <c r="L207" i="4"/>
  <c r="F3" i="8"/>
  <c r="E395" i="10" s="1"/>
  <c r="L38" i="11" l="1"/>
  <c r="L50" i="11" s="1"/>
  <c r="L160" i="4"/>
  <c r="N160" i="4" s="1"/>
  <c r="L146" i="4"/>
  <c r="N146" i="4" s="1"/>
  <c r="L145" i="4"/>
  <c r="N145" i="4" s="1"/>
  <c r="L27" i="4"/>
  <c r="L30" i="4"/>
  <c r="L29" i="4"/>
  <c r="L28" i="4"/>
  <c r="F396" i="10"/>
  <c r="E391" i="10"/>
  <c r="E388" i="10"/>
  <c r="E315" i="10"/>
  <c r="E50" i="10"/>
  <c r="L121" i="4"/>
  <c r="D3" i="8"/>
  <c r="D395" i="10" s="1"/>
  <c r="E392" i="10" l="1"/>
  <c r="F392" i="10"/>
  <c r="L58" i="11"/>
  <c r="L10" i="4"/>
  <c r="L37" i="11"/>
  <c r="D315" i="10"/>
  <c r="D50" i="10"/>
  <c r="L8" i="4"/>
  <c r="L127" i="4"/>
  <c r="I127" i="4" l="1"/>
  <c r="J127" i="4"/>
  <c r="K127" i="4"/>
  <c r="J27" i="9"/>
  <c r="K27" i="9" l="1"/>
  <c r="I27" i="9"/>
  <c r="H27" i="9"/>
  <c r="H25" i="9" l="1"/>
  <c r="H60" i="11" s="1"/>
  <c r="I25" i="9" l="1"/>
  <c r="I60" i="11" s="1"/>
  <c r="K25" i="9" l="1"/>
  <c r="K60" i="11" s="1"/>
  <c r="J25" i="9"/>
  <c r="J60" i="11" s="1"/>
  <c r="J61" i="11" s="1"/>
  <c r="J66" i="11" l="1"/>
  <c r="J20" i="10"/>
  <c r="J64" i="11"/>
  <c r="J65" i="11"/>
  <c r="K61" i="11"/>
  <c r="L72" i="11"/>
  <c r="L61" i="11"/>
  <c r="K66" i="11" l="1"/>
  <c r="K20" i="10"/>
  <c r="L66" i="11"/>
  <c r="L20" i="10"/>
  <c r="L65" i="11"/>
  <c r="L64" i="11"/>
  <c r="J67" i="11"/>
  <c r="K64" i="11"/>
  <c r="K65" i="11"/>
  <c r="L67" i="11" l="1"/>
  <c r="K67" i="11"/>
  <c r="G177" i="4"/>
  <c r="N177" i="4" s="1"/>
  <c r="G211" i="4" l="1"/>
  <c r="G6" i="11"/>
  <c r="G10" i="4"/>
  <c r="N10" i="4" s="1"/>
  <c r="G71" i="11" l="1"/>
  <c r="G9" i="11"/>
  <c r="G13" i="11" s="1"/>
  <c r="H199" i="4"/>
  <c r="I199" i="4"/>
  <c r="J199" i="4"/>
  <c r="K199" i="4"/>
  <c r="H205" i="4"/>
  <c r="I205" i="4"/>
  <c r="J205" i="4"/>
  <c r="K205" i="4"/>
  <c r="G15" i="11" l="1"/>
  <c r="G14" i="11"/>
  <c r="G12" i="11"/>
  <c r="G73" i="11"/>
  <c r="J206" i="4"/>
  <c r="J23" i="11" s="1"/>
  <c r="I206" i="4"/>
  <c r="I23" i="11" s="1"/>
  <c r="J177" i="4"/>
  <c r="I177" i="4"/>
  <c r="I6" i="11" s="1"/>
  <c r="H177" i="4"/>
  <c r="K177" i="4"/>
  <c r="K6" i="11" s="1"/>
  <c r="H206" i="4"/>
  <c r="K206" i="4"/>
  <c r="K23" i="11" s="1"/>
  <c r="H23" i="11" l="1"/>
  <c r="G16" i="11"/>
  <c r="G146" i="10"/>
  <c r="G151" i="10" s="1"/>
  <c r="G176" i="10" s="1"/>
  <c r="G178" i="10" s="1"/>
  <c r="G181" i="10" s="1"/>
  <c r="G17" i="10"/>
  <c r="G41" i="10"/>
  <c r="H210" i="4"/>
  <c r="H6" i="11"/>
  <c r="H71" i="11" s="1"/>
  <c r="J210" i="4"/>
  <c r="J10" i="4" s="1"/>
  <c r="J6" i="11"/>
  <c r="J71" i="11" s="1"/>
  <c r="I71" i="11"/>
  <c r="K207" i="4"/>
  <c r="H207" i="4"/>
  <c r="I207" i="4"/>
  <c r="J207" i="4"/>
  <c r="K71" i="11"/>
  <c r="I210" i="4"/>
  <c r="I10" i="4" s="1"/>
  <c r="K210" i="4"/>
  <c r="K10" i="4" s="1"/>
  <c r="L71" i="11"/>
  <c r="H38" i="11" l="1"/>
  <c r="H50" i="11" s="1"/>
  <c r="G43" i="10"/>
  <c r="G20" i="10"/>
  <c r="N20" i="10" s="1"/>
  <c r="I8" i="4"/>
  <c r="I72" i="11" s="1"/>
  <c r="I38" i="11"/>
  <c r="I50" i="11" s="1"/>
  <c r="K8" i="4"/>
  <c r="K72" i="11" s="1"/>
  <c r="K38" i="11"/>
  <c r="J8" i="4"/>
  <c r="J72" i="11" s="1"/>
  <c r="J38" i="11"/>
  <c r="L40" i="11"/>
  <c r="G44" i="10" l="1"/>
  <c r="L17" i="10"/>
  <c r="N17" i="10" s="1"/>
  <c r="K40" i="11"/>
  <c r="K50" i="11"/>
  <c r="J40" i="11"/>
  <c r="J50" i="11"/>
  <c r="G38" i="10"/>
  <c r="G23" i="10"/>
  <c r="G25" i="10" s="1"/>
  <c r="L44" i="11"/>
  <c r="L43" i="11"/>
  <c r="L45" i="11"/>
  <c r="G30" i="10" l="1"/>
  <c r="G47" i="10" s="1"/>
  <c r="H47" i="10" s="1"/>
  <c r="I47" i="10" s="1"/>
  <c r="J47" i="10" s="1"/>
  <c r="K47" i="10" s="1"/>
  <c r="L47" i="10" s="1"/>
  <c r="G51" i="10"/>
  <c r="H30" i="3"/>
  <c r="G50" i="10"/>
  <c r="J17" i="10"/>
  <c r="J18" i="10" s="1"/>
  <c r="J37" i="10" s="1"/>
  <c r="J44" i="11"/>
  <c r="J45" i="11"/>
  <c r="K17" i="10"/>
  <c r="K18" i="10" s="1"/>
  <c r="K37" i="10" s="1"/>
  <c r="K44" i="11"/>
  <c r="K43" i="11"/>
  <c r="K45" i="11"/>
  <c r="J43" i="11"/>
  <c r="G32" i="10"/>
  <c r="L46" i="11"/>
  <c r="L18" i="10"/>
  <c r="L37" i="10" s="1"/>
  <c r="G45" i="10" l="1"/>
  <c r="G42" i="10"/>
  <c r="J46" i="11"/>
  <c r="K46" i="11"/>
  <c r="L38" i="10"/>
  <c r="N38" i="10" s="1"/>
  <c r="L325" i="10"/>
  <c r="K38" i="10"/>
  <c r="K325" i="10"/>
  <c r="J38" i="10"/>
  <c r="J325" i="10"/>
  <c r="L104" i="10"/>
  <c r="L394" i="10"/>
  <c r="K104" i="10"/>
  <c r="K394" i="10"/>
  <c r="J104" i="10"/>
  <c r="J394" i="10"/>
  <c r="G48" i="10"/>
  <c r="G35" i="10"/>
  <c r="G6" i="4"/>
  <c r="G11" i="4" s="1"/>
  <c r="H48" i="10" l="1"/>
  <c r="I48" i="10" s="1"/>
  <c r="J48" i="10" s="1"/>
  <c r="K48" i="10" s="1"/>
  <c r="L48" i="10" s="1"/>
  <c r="G386" i="10"/>
  <c r="G309" i="10"/>
  <c r="G313" i="10" s="1"/>
  <c r="G7" i="12"/>
  <c r="H34" i="4" s="1"/>
  <c r="G37" i="12"/>
  <c r="G39" i="12"/>
  <c r="G40" i="12"/>
  <c r="E58" i="3" l="1"/>
  <c r="G391" i="10"/>
  <c r="G392" i="10" s="1"/>
  <c r="G388" i="10"/>
  <c r="G396" i="10"/>
  <c r="H36" i="4"/>
  <c r="H22" i="4"/>
  <c r="H24" i="4" l="1"/>
  <c r="H37" i="4"/>
  <c r="I37" i="4"/>
  <c r="F58" i="3"/>
  <c r="H119" i="4"/>
  <c r="H158" i="4"/>
  <c r="H160" i="4" l="1"/>
  <c r="H166" i="4" s="1"/>
  <c r="H121" i="4"/>
  <c r="H28" i="4"/>
  <c r="H115" i="4"/>
  <c r="H30" i="4"/>
  <c r="H29" i="4"/>
  <c r="H27" i="4"/>
  <c r="G58" i="3"/>
  <c r="H146" i="4"/>
  <c r="H72" i="11"/>
  <c r="H10" i="4" l="1"/>
  <c r="H37" i="11"/>
  <c r="H58" i="11"/>
  <c r="H61" i="11" s="1"/>
  <c r="H64" i="11" s="1"/>
  <c r="H127" i="4"/>
  <c r="H8" i="4"/>
  <c r="H58" i="3"/>
  <c r="I40" i="11"/>
  <c r="I61" i="11"/>
  <c r="I20" i="10" s="1"/>
  <c r="H66" i="11" l="1"/>
  <c r="H65" i="11"/>
  <c r="H20" i="10"/>
  <c r="D30" i="3"/>
  <c r="J58" i="3"/>
  <c r="I58" i="3"/>
  <c r="I43" i="11"/>
  <c r="I17" i="10"/>
  <c r="I65" i="11"/>
  <c r="I66" i="11"/>
  <c r="I64" i="11"/>
  <c r="I44" i="11"/>
  <c r="I45" i="11"/>
  <c r="H67" i="11" l="1"/>
  <c r="I67" i="11"/>
  <c r="I46" i="11"/>
  <c r="I18" i="10"/>
  <c r="I37" i="10" s="1"/>
  <c r="H40" i="11"/>
  <c r="I38" i="10" l="1"/>
  <c r="J30" i="3" s="1"/>
  <c r="J39" i="3" s="1"/>
  <c r="J41" i="3" s="1"/>
  <c r="J42" i="3" s="1"/>
  <c r="I325" i="10"/>
  <c r="I104" i="10"/>
  <c r="I394" i="10"/>
  <c r="H44" i="11"/>
  <c r="H17" i="10"/>
  <c r="H43" i="11"/>
  <c r="H45" i="11"/>
  <c r="H18" i="10" l="1"/>
  <c r="H37" i="10" s="1"/>
  <c r="H46" i="11"/>
  <c r="H38" i="10" l="1"/>
  <c r="H325" i="10"/>
  <c r="H327" i="10" s="1"/>
  <c r="H104" i="10"/>
  <c r="H394" i="10"/>
  <c r="H399" i="10" s="1"/>
  <c r="H400" i="10" s="1"/>
  <c r="G15" i="4"/>
  <c r="G202" i="10" s="1"/>
  <c r="I30" i="3" l="1"/>
  <c r="H83" i="10"/>
  <c r="I324" i="10"/>
  <c r="I327" i="10" s="1"/>
  <c r="I398" i="10"/>
  <c r="H401" i="10"/>
  <c r="G16" i="4"/>
  <c r="G237" i="10" s="1"/>
  <c r="H5" i="11"/>
  <c r="H6" i="4"/>
  <c r="H11" i="4" s="1"/>
  <c r="H154" i="4"/>
  <c r="H133" i="4"/>
  <c r="H148" i="4"/>
  <c r="H387" i="10" l="1"/>
  <c r="H390" i="10" s="1"/>
  <c r="H9" i="11"/>
  <c r="H15" i="10" s="1"/>
  <c r="H49" i="11"/>
  <c r="J324" i="10"/>
  <c r="J327" i="10" s="1"/>
  <c r="I83" i="10"/>
  <c r="H70" i="11"/>
  <c r="H238" i="4"/>
  <c r="H7" i="4"/>
  <c r="H22" i="11"/>
  <c r="H9" i="4"/>
  <c r="H43" i="10" l="1"/>
  <c r="H44" i="10"/>
  <c r="H73" i="11"/>
  <c r="H52" i="11"/>
  <c r="H13" i="11"/>
  <c r="H12" i="11"/>
  <c r="H14" i="11"/>
  <c r="H15" i="11"/>
  <c r="K324" i="10"/>
  <c r="K327" i="10" s="1"/>
  <c r="J83" i="10"/>
  <c r="H41" i="10"/>
  <c r="H269" i="10" s="1"/>
  <c r="H345" i="10"/>
  <c r="H25" i="11"/>
  <c r="H28" i="11" s="1"/>
  <c r="H16" i="11" l="1"/>
  <c r="K83" i="10"/>
  <c r="L324" i="10"/>
  <c r="L327" i="10" s="1"/>
  <c r="L83" i="10" s="1"/>
  <c r="H29" i="11"/>
  <c r="H16" i="10"/>
  <c r="H30" i="11"/>
  <c r="H150" i="10"/>
  <c r="H144" i="10" s="1"/>
  <c r="H143" i="10" s="1"/>
  <c r="H59" i="10" l="1"/>
  <c r="H107" i="10" s="1"/>
  <c r="I142" i="10"/>
  <c r="H146" i="10"/>
  <c r="H31" i="11"/>
  <c r="H61" i="10"/>
  <c r="H166" i="10"/>
  <c r="H156" i="10"/>
  <c r="H172" i="10"/>
  <c r="H281" i="10"/>
  <c r="H286" i="10" s="1"/>
  <c r="H270" i="10" s="1"/>
  <c r="H271" i="10" s="1"/>
  <c r="I281" i="10"/>
  <c r="J281" i="10"/>
  <c r="H292" i="10"/>
  <c r="H294" i="10" s="1"/>
  <c r="K281" i="10"/>
  <c r="L281" i="10"/>
  <c r="H299" i="10" l="1"/>
  <c r="F17" i="3" s="1"/>
  <c r="H64" i="10"/>
  <c r="I268" i="10"/>
  <c r="H58" i="10"/>
  <c r="H155" i="10"/>
  <c r="H177" i="10"/>
  <c r="H178" i="10" s="1"/>
  <c r="H181" i="10" s="1"/>
  <c r="I154" i="10"/>
  <c r="H168" i="10"/>
  <c r="I164" i="10"/>
  <c r="H72" i="10"/>
  <c r="H165" i="10"/>
  <c r="H108" i="10"/>
  <c r="H28" i="10" l="1"/>
  <c r="H121" i="10" s="1"/>
  <c r="H300" i="10"/>
  <c r="H77" i="10" s="1"/>
  <c r="H191" i="10" s="1"/>
  <c r="H110" i="10"/>
  <c r="H106" i="10"/>
  <c r="I5" i="11"/>
  <c r="J5" i="11"/>
  <c r="K5" i="11"/>
  <c r="L5" i="11"/>
  <c r="I6" i="4"/>
  <c r="I11" i="4" s="1"/>
  <c r="J6" i="4"/>
  <c r="J9" i="4" s="1"/>
  <c r="K6" i="4"/>
  <c r="K11" i="4" s="1"/>
  <c r="L6" i="4"/>
  <c r="N6" i="4" s="1"/>
  <c r="I115" i="4"/>
  <c r="I154" i="4" s="1"/>
  <c r="J115" i="4"/>
  <c r="J238" i="4" s="1"/>
  <c r="K115" i="4"/>
  <c r="K238" i="4" s="1"/>
  <c r="L115" i="4"/>
  <c r="N115" i="4" s="1"/>
  <c r="I133" i="4"/>
  <c r="J133" i="4"/>
  <c r="K133" i="4"/>
  <c r="L133" i="4"/>
  <c r="I148" i="4"/>
  <c r="I22" i="11" s="1"/>
  <c r="J148" i="4"/>
  <c r="J22" i="11" s="1"/>
  <c r="K148" i="4"/>
  <c r="K22" i="11" s="1"/>
  <c r="L148" i="4"/>
  <c r="I166" i="4"/>
  <c r="J166" i="4"/>
  <c r="K166" i="4"/>
  <c r="L166" i="4"/>
  <c r="L22" i="11" l="1"/>
  <c r="L25" i="11" s="1"/>
  <c r="L28" i="11" s="1"/>
  <c r="L238" i="4"/>
  <c r="L9" i="4"/>
  <c r="J70" i="11"/>
  <c r="J49" i="11"/>
  <c r="L9" i="11"/>
  <c r="L52" i="11" s="1"/>
  <c r="L49" i="11"/>
  <c r="I9" i="11"/>
  <c r="I73" i="11" s="1"/>
  <c r="I49" i="11"/>
  <c r="K9" i="11"/>
  <c r="K49" i="11"/>
  <c r="I291" i="10"/>
  <c r="I293" i="10" s="1"/>
  <c r="L154" i="4"/>
  <c r="L11" i="4"/>
  <c r="K154" i="4"/>
  <c r="J154" i="4"/>
  <c r="J9" i="11"/>
  <c r="K9" i="4"/>
  <c r="L70" i="11"/>
  <c r="L7" i="4"/>
  <c r="J11" i="4"/>
  <c r="K7" i="4"/>
  <c r="I70" i="11"/>
  <c r="K70" i="11"/>
  <c r="J25" i="11"/>
  <c r="J28" i="11" s="1"/>
  <c r="I9" i="4"/>
  <c r="I238" i="4"/>
  <c r="I25" i="11"/>
  <c r="I28" i="11" s="1"/>
  <c r="J7" i="4"/>
  <c r="I7" i="4"/>
  <c r="K25" i="11"/>
  <c r="K28" i="11" s="1"/>
  <c r="I122" i="10" l="1"/>
  <c r="G18" i="3"/>
  <c r="L15" i="10"/>
  <c r="N15" i="10" s="1"/>
  <c r="L73" i="11"/>
  <c r="L14" i="11"/>
  <c r="L15" i="11"/>
  <c r="L12" i="11"/>
  <c r="L13" i="11"/>
  <c r="I15" i="10"/>
  <c r="I13" i="11"/>
  <c r="I15" i="11"/>
  <c r="I12" i="11"/>
  <c r="I52" i="11"/>
  <c r="K12" i="11"/>
  <c r="K52" i="11"/>
  <c r="J15" i="11"/>
  <c r="J52" i="11"/>
  <c r="I14" i="11"/>
  <c r="K15" i="11"/>
  <c r="K15" i="10"/>
  <c r="K73" i="11"/>
  <c r="K13" i="11"/>
  <c r="K14" i="11"/>
  <c r="J15" i="10"/>
  <c r="J44" i="10" s="1"/>
  <c r="J13" i="11"/>
  <c r="J73" i="11"/>
  <c r="J14" i="11"/>
  <c r="J12" i="11"/>
  <c r="I29" i="11"/>
  <c r="I30" i="11"/>
  <c r="I16" i="10"/>
  <c r="K29" i="11"/>
  <c r="K30" i="11"/>
  <c r="K16" i="10"/>
  <c r="L30" i="11"/>
  <c r="L16" i="10"/>
  <c r="L29" i="11"/>
  <c r="J29" i="11"/>
  <c r="J16" i="10"/>
  <c r="J30" i="11"/>
  <c r="L345" i="10" l="1"/>
  <c r="L43" i="10"/>
  <c r="L44" i="10"/>
  <c r="I41" i="10"/>
  <c r="I269" i="10" s="1"/>
  <c r="I44" i="10"/>
  <c r="L41" i="10"/>
  <c r="L150" i="10" s="1"/>
  <c r="K44" i="10"/>
  <c r="I345" i="10"/>
  <c r="I43" i="10"/>
  <c r="L16" i="11"/>
  <c r="I16" i="11"/>
  <c r="K43" i="10"/>
  <c r="K41" i="10"/>
  <c r="K150" i="10" s="1"/>
  <c r="K345" i="10"/>
  <c r="K16" i="11"/>
  <c r="J16" i="11"/>
  <c r="J43" i="10"/>
  <c r="J345" i="10"/>
  <c r="J41" i="10"/>
  <c r="J150" i="10" s="1"/>
  <c r="L31" i="11"/>
  <c r="K31" i="11"/>
  <c r="I31" i="11"/>
  <c r="J31" i="11"/>
  <c r="I156" i="10"/>
  <c r="I166" i="10"/>
  <c r="I172" i="10"/>
  <c r="I61" i="10"/>
  <c r="K172" i="10"/>
  <c r="L172" i="10"/>
  <c r="J172" i="10"/>
  <c r="I150" i="10" l="1"/>
  <c r="I144" i="10" s="1"/>
  <c r="J142" i="10" s="1"/>
  <c r="J144" i="10" s="1"/>
  <c r="J146" i="10" s="1"/>
  <c r="I108" i="10"/>
  <c r="J61" i="10"/>
  <c r="I282" i="10"/>
  <c r="I286" i="10" s="1"/>
  <c r="I270" i="10" s="1"/>
  <c r="I271" i="10" s="1"/>
  <c r="J282" i="10"/>
  <c r="K282" i="10"/>
  <c r="L282" i="10"/>
  <c r="I292" i="10"/>
  <c r="I294" i="10" s="1"/>
  <c r="J269" i="10"/>
  <c r="I165" i="10"/>
  <c r="I168" i="10"/>
  <c r="I72" i="10"/>
  <c r="J164" i="10"/>
  <c r="J166" i="10" s="1"/>
  <c r="J168" i="10" s="1"/>
  <c r="I177" i="10"/>
  <c r="I178" i="10" s="1"/>
  <c r="I181" i="10" s="1"/>
  <c r="J154" i="10"/>
  <c r="J156" i="10" s="1"/>
  <c r="I155" i="10"/>
  <c r="I58" i="10"/>
  <c r="J143" i="10" l="1"/>
  <c r="J59" i="10"/>
  <c r="K142" i="10"/>
  <c r="K144" i="10" s="1"/>
  <c r="K146" i="10" s="1"/>
  <c r="I59" i="10"/>
  <c r="I107" i="10" s="1"/>
  <c r="I143" i="10"/>
  <c r="I146" i="10"/>
  <c r="I299" i="10"/>
  <c r="G17" i="3" s="1"/>
  <c r="J268" i="10"/>
  <c r="I64" i="10"/>
  <c r="I106" i="10"/>
  <c r="K154" i="10"/>
  <c r="K156" i="10" s="1"/>
  <c r="J58" i="10"/>
  <c r="J155" i="10"/>
  <c r="K269" i="10"/>
  <c r="L283" i="10"/>
  <c r="J283" i="10"/>
  <c r="J286" i="10" s="1"/>
  <c r="J270" i="10" s="1"/>
  <c r="K283" i="10"/>
  <c r="J292" i="10"/>
  <c r="J165" i="10"/>
  <c r="J72" i="10"/>
  <c r="K164" i="10"/>
  <c r="K166" i="10" s="1"/>
  <c r="K61" i="10"/>
  <c r="J108" i="10"/>
  <c r="J177" i="10"/>
  <c r="J178" i="10" s="1"/>
  <c r="J181" i="10" s="1"/>
  <c r="I110" i="10"/>
  <c r="I28" i="10" l="1"/>
  <c r="I121" i="10" s="1"/>
  <c r="K59" i="10"/>
  <c r="K107" i="10" s="1"/>
  <c r="J107" i="10"/>
  <c r="L142" i="10"/>
  <c r="L144" i="10" s="1"/>
  <c r="L146" i="10" s="1"/>
  <c r="K143" i="10"/>
  <c r="I300" i="10"/>
  <c r="K58" i="10"/>
  <c r="L154" i="10"/>
  <c r="L156" i="10" s="1"/>
  <c r="K155" i="10"/>
  <c r="K177" i="10"/>
  <c r="K178" i="10" s="1"/>
  <c r="K181" i="10" s="1"/>
  <c r="J106" i="10"/>
  <c r="L61" i="10"/>
  <c r="L108" i="10" s="1"/>
  <c r="K108" i="10"/>
  <c r="K165" i="10"/>
  <c r="K72" i="10"/>
  <c r="L164" i="10"/>
  <c r="L166" i="10" s="1"/>
  <c r="J110" i="10"/>
  <c r="K168" i="10"/>
  <c r="L269" i="10"/>
  <c r="K284" i="10"/>
  <c r="K286" i="10" s="1"/>
  <c r="K270" i="10" s="1"/>
  <c r="L284" i="10"/>
  <c r="K292" i="10"/>
  <c r="J271" i="10"/>
  <c r="L59" i="10" l="1"/>
  <c r="L107" i="10" s="1"/>
  <c r="L143" i="10"/>
  <c r="J291" i="10"/>
  <c r="J293" i="10" s="1"/>
  <c r="I77" i="10"/>
  <c r="I191" i="10" s="1"/>
  <c r="L72" i="10"/>
  <c r="L165" i="10"/>
  <c r="K110" i="10"/>
  <c r="L155" i="10"/>
  <c r="L58" i="10"/>
  <c r="L177" i="10"/>
  <c r="L178" i="10" s="1"/>
  <c r="L181" i="10" s="1"/>
  <c r="L285" i="10"/>
  <c r="L286" i="10" s="1"/>
  <c r="L270" i="10" s="1"/>
  <c r="L292" i="10"/>
  <c r="L168" i="10"/>
  <c r="J64" i="10"/>
  <c r="K268" i="10"/>
  <c r="K271" i="10" s="1"/>
  <c r="K106" i="10"/>
  <c r="J122" i="10" l="1"/>
  <c r="H18" i="3"/>
  <c r="J294" i="10"/>
  <c r="K64" i="10"/>
  <c r="L268" i="10"/>
  <c r="L271" i="10" s="1"/>
  <c r="L64" i="10" s="1"/>
  <c r="L106" i="10"/>
  <c r="L110" i="10"/>
  <c r="J299" i="10" l="1"/>
  <c r="H17" i="3" s="1"/>
  <c r="J28" i="10" l="1"/>
  <c r="J121" i="10" s="1"/>
  <c r="J300" i="10"/>
  <c r="J77" i="10" l="1"/>
  <c r="J191" i="10" s="1"/>
  <c r="K291" i="10"/>
  <c r="H16" i="9"/>
  <c r="I16" i="9" s="1"/>
  <c r="G18" i="9"/>
  <c r="G203" i="10" l="1"/>
  <c r="G20" i="9"/>
  <c r="N20" i="9" s="1"/>
  <c r="H18" i="9"/>
  <c r="H203" i="10" s="1"/>
  <c r="H207" i="10" s="1"/>
  <c r="K293" i="10"/>
  <c r="I18" i="9"/>
  <c r="I203" i="10" s="1"/>
  <c r="I207" i="10" s="1"/>
  <c r="J16" i="9"/>
  <c r="K122" i="10" l="1"/>
  <c r="I18" i="3"/>
  <c r="K294" i="10"/>
  <c r="K299" i="10" s="1"/>
  <c r="I17" i="3" s="1"/>
  <c r="H224" i="10"/>
  <c r="H229" i="10" s="1"/>
  <c r="H204" i="10" s="1"/>
  <c r="H205" i="10" s="1"/>
  <c r="H63" i="10" s="1"/>
  <c r="L224" i="10"/>
  <c r="I224" i="10"/>
  <c r="J224" i="10"/>
  <c r="K224" i="10"/>
  <c r="K225" i="10"/>
  <c r="L225" i="10"/>
  <c r="J225" i="10"/>
  <c r="I225" i="10"/>
  <c r="I115" i="10"/>
  <c r="K16" i="9"/>
  <c r="J18" i="9"/>
  <c r="J203" i="10" s="1"/>
  <c r="J207" i="10" s="1"/>
  <c r="H115" i="10"/>
  <c r="K28" i="10" l="1"/>
  <c r="K121" i="10" s="1"/>
  <c r="I229" i="10"/>
  <c r="I204" i="10" s="1"/>
  <c r="I201" i="10"/>
  <c r="K226" i="10"/>
  <c r="L226" i="10"/>
  <c r="J226" i="10"/>
  <c r="J229" i="10" s="1"/>
  <c r="J204" i="10" s="1"/>
  <c r="K300" i="10"/>
  <c r="J115" i="10"/>
  <c r="K18" i="9"/>
  <c r="K203" i="10" s="1"/>
  <c r="K207" i="10" s="1"/>
  <c r="L16" i="9"/>
  <c r="L18" i="9" s="1"/>
  <c r="L203" i="10" s="1"/>
  <c r="L207" i="10" s="1"/>
  <c r="L228" i="10" s="1"/>
  <c r="I205" i="10" l="1"/>
  <c r="I63" i="10" s="1"/>
  <c r="L227" i="10"/>
  <c r="L229" i="10" s="1"/>
  <c r="L204" i="10" s="1"/>
  <c r="K227" i="10"/>
  <c r="K229" i="10" s="1"/>
  <c r="K204" i="10" s="1"/>
  <c r="K77" i="10"/>
  <c r="K191" i="10" s="1"/>
  <c r="L291" i="10"/>
  <c r="L115" i="10"/>
  <c r="K115" i="10"/>
  <c r="J201" i="10" l="1"/>
  <c r="J205" i="10" s="1"/>
  <c r="J63" i="10" s="1"/>
  <c r="L293" i="10"/>
  <c r="H17" i="9"/>
  <c r="H19" i="9" s="1"/>
  <c r="H238" i="10" s="1"/>
  <c r="H362" i="10" s="1"/>
  <c r="G19" i="9"/>
  <c r="G238" i="10" s="1"/>
  <c r="L122" i="10" l="1"/>
  <c r="J18" i="3"/>
  <c r="K201" i="10"/>
  <c r="K205" i="10" s="1"/>
  <c r="K63" i="10" s="1"/>
  <c r="I17" i="9"/>
  <c r="J17" i="9" s="1"/>
  <c r="K17" i="9" s="1"/>
  <c r="L294" i="10"/>
  <c r="H364" i="10"/>
  <c r="H242" i="10"/>
  <c r="I19" i="9" l="1"/>
  <c r="I238" i="10" s="1"/>
  <c r="I242" i="10" s="1"/>
  <c r="J19" i="9"/>
  <c r="J238" i="10" s="1"/>
  <c r="J242" i="10" s="1"/>
  <c r="L201" i="10"/>
  <c r="L205" i="10" s="1"/>
  <c r="L63" i="10" s="1"/>
  <c r="N63" i="10" s="1"/>
  <c r="L299" i="10"/>
  <c r="H116" i="10"/>
  <c r="I256" i="10"/>
  <c r="J256" i="10"/>
  <c r="H243" i="10"/>
  <c r="K256" i="10"/>
  <c r="L256" i="10"/>
  <c r="H256" i="10"/>
  <c r="H261" i="10" s="1"/>
  <c r="H208" i="10"/>
  <c r="H76" i="10"/>
  <c r="H190" i="10" s="1"/>
  <c r="I361" i="10"/>
  <c r="K19" i="9"/>
  <c r="K238" i="10" s="1"/>
  <c r="L17" i="9"/>
  <c r="L19" i="9" s="1"/>
  <c r="L238" i="10" s="1"/>
  <c r="L28" i="10" l="1"/>
  <c r="L121" i="10" s="1"/>
  <c r="J17" i="3"/>
  <c r="H117" i="10"/>
  <c r="F19" i="3" s="1"/>
  <c r="I362" i="10"/>
  <c r="I364" i="10" s="1"/>
  <c r="I76" i="10" s="1"/>
  <c r="I190" i="10" s="1"/>
  <c r="J362" i="10"/>
  <c r="L300" i="10"/>
  <c r="L77" i="10" s="1"/>
  <c r="L191" i="10" s="1"/>
  <c r="L242" i="10"/>
  <c r="L362" i="10"/>
  <c r="I116" i="10"/>
  <c r="K257" i="10"/>
  <c r="I243" i="10"/>
  <c r="I257" i="10"/>
  <c r="I261" i="10" s="1"/>
  <c r="L257" i="10"/>
  <c r="I208" i="10"/>
  <c r="J257" i="10"/>
  <c r="K242" i="10"/>
  <c r="K362" i="10"/>
  <c r="H239" i="10"/>
  <c r="H240" i="10" s="1"/>
  <c r="H288" i="10"/>
  <c r="H103" i="10" s="1"/>
  <c r="J116" i="10"/>
  <c r="J258" i="10"/>
  <c r="K258" i="10"/>
  <c r="L258" i="10"/>
  <c r="J208" i="10"/>
  <c r="J243" i="10"/>
  <c r="H119" i="10"/>
  <c r="F27" i="3"/>
  <c r="F20" i="3" s="1"/>
  <c r="I117" i="10" l="1"/>
  <c r="G19" i="3" s="1"/>
  <c r="J117" i="10"/>
  <c r="H19" i="3" s="1"/>
  <c r="J361" i="10"/>
  <c r="J364" i="10" s="1"/>
  <c r="K361" i="10" s="1"/>
  <c r="K364" i="10" s="1"/>
  <c r="J261" i="10"/>
  <c r="J239" i="10" s="1"/>
  <c r="H21" i="10"/>
  <c r="I239" i="10"/>
  <c r="I288" i="10"/>
  <c r="G27" i="3"/>
  <c r="G20" i="3" s="1"/>
  <c r="I119" i="10"/>
  <c r="H65" i="10"/>
  <c r="I236" i="10"/>
  <c r="K116" i="10"/>
  <c r="K259" i="10"/>
  <c r="K261" i="10" s="1"/>
  <c r="L259" i="10"/>
  <c r="K243" i="10"/>
  <c r="K208" i="10"/>
  <c r="L208" i="10"/>
  <c r="L116" i="10"/>
  <c r="L243" i="10"/>
  <c r="L260" i="10"/>
  <c r="K117" i="10" l="1"/>
  <c r="I19" i="3" s="1"/>
  <c r="L117" i="10"/>
  <c r="N117" i="10" s="1"/>
  <c r="J76" i="10"/>
  <c r="J288" i="10"/>
  <c r="J103" i="10" s="1"/>
  <c r="L261" i="10"/>
  <c r="L239" i="10" s="1"/>
  <c r="I103" i="10"/>
  <c r="I21" i="10"/>
  <c r="K76" i="10"/>
  <c r="L361" i="10"/>
  <c r="L364" i="10" s="1"/>
  <c r="L76" i="10" s="1"/>
  <c r="N76" i="10" s="1"/>
  <c r="I240" i="10"/>
  <c r="K239" i="10"/>
  <c r="K288" i="10"/>
  <c r="H23" i="10"/>
  <c r="H25" i="10" s="1"/>
  <c r="J19" i="3" l="1"/>
  <c r="L19" i="3" s="1"/>
  <c r="J119" i="10"/>
  <c r="J190" i="10"/>
  <c r="K190" i="10" s="1"/>
  <c r="L190" i="10" s="1"/>
  <c r="H27" i="3"/>
  <c r="H20" i="3" s="1"/>
  <c r="J21" i="10"/>
  <c r="L288" i="10"/>
  <c r="L103" i="10" s="1"/>
  <c r="I65" i="10"/>
  <c r="J236" i="10"/>
  <c r="J240" i="10" s="1"/>
  <c r="I23" i="10"/>
  <c r="I25" i="10" s="1"/>
  <c r="K103" i="10"/>
  <c r="K21" i="10"/>
  <c r="L119" i="10"/>
  <c r="J27" i="3"/>
  <c r="I27" i="3"/>
  <c r="K119" i="10"/>
  <c r="J23" i="10" l="1"/>
  <c r="J25" i="10" s="1"/>
  <c r="I20" i="3"/>
  <c r="L21" i="10"/>
  <c r="J20" i="3"/>
  <c r="J65" i="10"/>
  <c r="K236" i="10"/>
  <c r="K240" i="10" s="1"/>
  <c r="K23" i="10"/>
  <c r="K25" i="10" s="1"/>
  <c r="L23" i="10" l="1"/>
  <c r="L25" i="10" s="1"/>
  <c r="K65" i="10"/>
  <c r="L236" i="10"/>
  <c r="L240" i="10" s="1"/>
  <c r="L65" i="10" s="1"/>
  <c r="N25" i="10" l="1"/>
  <c r="D127" i="4"/>
  <c r="D154" i="4" s="1"/>
  <c r="D133" i="4"/>
  <c r="D148" i="4"/>
  <c r="N121" i="4"/>
  <c r="E127" i="4"/>
  <c r="E154" i="4" s="1"/>
  <c r="F127" i="4"/>
  <c r="F154" i="4" s="1"/>
  <c r="G127" i="4"/>
  <c r="E133" i="4"/>
  <c r="F133" i="4"/>
  <c r="G133" i="4"/>
  <c r="F142" i="4"/>
  <c r="E148" i="4"/>
  <c r="F148" i="4"/>
  <c r="G148" i="4"/>
  <c r="N148" i="4" s="1"/>
  <c r="N127" i="4" l="1"/>
  <c r="G154" i="4"/>
  <c r="N154" i="4" s="1"/>
  <c r="F138" i="4"/>
  <c r="F136" i="4"/>
  <c r="F140" i="4"/>
  <c r="F137" i="4"/>
  <c r="F139" i="4"/>
  <c r="F141" i="4" s="1"/>
  <c r="D23" i="16"/>
  <c r="D24" i="16"/>
  <c r="D25" i="16"/>
  <c r="D26" i="16"/>
  <c r="D27" i="16"/>
  <c r="D32" i="16"/>
  <c r="F16" i="3"/>
  <c r="G16" i="3"/>
  <c r="H16" i="3"/>
  <c r="I16" i="3"/>
  <c r="J16" i="3"/>
  <c r="L16" i="3"/>
  <c r="F21" i="3"/>
  <c r="G21" i="3"/>
  <c r="H21" i="3"/>
  <c r="I21" i="3"/>
  <c r="J21" i="3"/>
  <c r="F23" i="3"/>
  <c r="G23" i="3"/>
  <c r="H23" i="3"/>
  <c r="I23" i="3"/>
  <c r="J23" i="3"/>
  <c r="L23" i="3"/>
  <c r="F26" i="3"/>
  <c r="G26" i="3"/>
  <c r="H26" i="3"/>
  <c r="I26" i="3"/>
  <c r="J26" i="3"/>
  <c r="F28" i="3"/>
  <c r="G28" i="3"/>
  <c r="H28" i="3"/>
  <c r="I28" i="3"/>
  <c r="J28" i="3"/>
  <c r="F35" i="3"/>
  <c r="G35" i="3"/>
  <c r="H35" i="3"/>
  <c r="I35" i="3"/>
  <c r="J35" i="3"/>
  <c r="F36" i="3"/>
  <c r="G36" i="3"/>
  <c r="H36" i="3"/>
  <c r="I36" i="3"/>
  <c r="J36" i="3"/>
  <c r="D40" i="3"/>
  <c r="D41" i="3"/>
  <c r="D42" i="3"/>
  <c r="D43" i="3"/>
  <c r="J43" i="3"/>
  <c r="D44" i="3"/>
  <c r="J44" i="3"/>
  <c r="D46" i="3"/>
  <c r="J46" i="3"/>
  <c r="D47" i="3"/>
  <c r="J47" i="3"/>
  <c r="D48" i="3"/>
  <c r="J48" i="3"/>
  <c r="F56" i="3"/>
  <c r="G56" i="3"/>
  <c r="H56" i="3"/>
  <c r="I56" i="3"/>
  <c r="J56" i="3"/>
  <c r="L56" i="3"/>
  <c r="F57" i="3"/>
  <c r="G57" i="3"/>
  <c r="H57" i="3"/>
  <c r="I57" i="3"/>
  <c r="J57" i="3"/>
  <c r="F63" i="3"/>
  <c r="G63" i="3"/>
  <c r="H63" i="3"/>
  <c r="I63" i="3"/>
  <c r="J63" i="3"/>
  <c r="F64" i="3"/>
  <c r="G64" i="3"/>
  <c r="H64" i="3"/>
  <c r="I64" i="3"/>
  <c r="J64" i="3"/>
  <c r="J67" i="3"/>
  <c r="D68" i="3"/>
  <c r="D69" i="3"/>
  <c r="J69" i="3"/>
  <c r="D70" i="3"/>
  <c r="J70" i="3"/>
  <c r="D71" i="3"/>
  <c r="J71" i="3"/>
  <c r="D72" i="3"/>
  <c r="J72" i="3"/>
  <c r="D74" i="3"/>
  <c r="J74" i="3"/>
  <c r="D75" i="3"/>
  <c r="J75" i="3"/>
  <c r="D76" i="3"/>
  <c r="J76" i="3"/>
  <c r="D105" i="3"/>
  <c r="E105" i="3"/>
  <c r="D106" i="3"/>
  <c r="E106" i="3"/>
  <c r="D107" i="3"/>
  <c r="E107" i="3"/>
  <c r="D108" i="3"/>
  <c r="E108" i="3"/>
  <c r="D109" i="3"/>
  <c r="E109" i="3"/>
  <c r="H26" i="10"/>
  <c r="I26" i="10"/>
  <c r="J26" i="10"/>
  <c r="K26" i="10"/>
  <c r="L26" i="10"/>
  <c r="H27" i="10"/>
  <c r="I27" i="10"/>
  <c r="J27" i="10"/>
  <c r="K27" i="10"/>
  <c r="L27" i="10"/>
  <c r="H30" i="10"/>
  <c r="I30" i="10"/>
  <c r="J30" i="10"/>
  <c r="K30" i="10"/>
  <c r="L30" i="10"/>
  <c r="H31" i="10"/>
  <c r="I31" i="10"/>
  <c r="J31" i="10"/>
  <c r="K31" i="10"/>
  <c r="L31" i="10"/>
  <c r="H32" i="10"/>
  <c r="I32" i="10"/>
  <c r="J32" i="10"/>
  <c r="K32" i="10"/>
  <c r="L32" i="10"/>
  <c r="N32" i="10"/>
  <c r="H33" i="10"/>
  <c r="I33" i="10"/>
  <c r="J33" i="10"/>
  <c r="K33" i="10"/>
  <c r="L33" i="10"/>
  <c r="H35" i="10"/>
  <c r="I35" i="10"/>
  <c r="J35" i="10"/>
  <c r="K35" i="10"/>
  <c r="L35" i="10"/>
  <c r="N35" i="10"/>
  <c r="H42" i="10"/>
  <c r="I42" i="10"/>
  <c r="J42" i="10"/>
  <c r="K42" i="10"/>
  <c r="L42" i="10"/>
  <c r="H45" i="10"/>
  <c r="I45" i="10"/>
  <c r="J45" i="10"/>
  <c r="K45" i="10"/>
  <c r="L45" i="10"/>
  <c r="H51" i="10"/>
  <c r="I51" i="10"/>
  <c r="J51" i="10"/>
  <c r="K51" i="10"/>
  <c r="L51" i="10"/>
  <c r="H57" i="10"/>
  <c r="I57" i="10"/>
  <c r="J57" i="10"/>
  <c r="K57" i="10"/>
  <c r="L57" i="10"/>
  <c r="N57" i="10"/>
  <c r="H70" i="10"/>
  <c r="I70" i="10"/>
  <c r="J70" i="10"/>
  <c r="K70" i="10"/>
  <c r="L70" i="10"/>
  <c r="N70" i="10"/>
  <c r="H73" i="10"/>
  <c r="I73" i="10"/>
  <c r="J73" i="10"/>
  <c r="K73" i="10"/>
  <c r="L73" i="10"/>
  <c r="H81" i="10"/>
  <c r="I81" i="10"/>
  <c r="J81" i="10"/>
  <c r="K81" i="10"/>
  <c r="L81" i="10"/>
  <c r="N81" i="10"/>
  <c r="H84" i="10"/>
  <c r="I84" i="10"/>
  <c r="J84" i="10"/>
  <c r="K84" i="10"/>
  <c r="L84" i="10"/>
  <c r="H86" i="10"/>
  <c r="I86" i="10"/>
  <c r="J86" i="10"/>
  <c r="K86" i="10"/>
  <c r="L86" i="10"/>
  <c r="H87" i="10"/>
  <c r="I87" i="10"/>
  <c r="J87" i="10"/>
  <c r="K87" i="10"/>
  <c r="L87" i="10"/>
  <c r="N87" i="10"/>
  <c r="H89" i="10"/>
  <c r="I89" i="10"/>
  <c r="J89" i="10"/>
  <c r="K89" i="10"/>
  <c r="L89" i="10"/>
  <c r="H92" i="10"/>
  <c r="I92" i="10"/>
  <c r="J92" i="10"/>
  <c r="K92" i="10"/>
  <c r="L92" i="10"/>
  <c r="H93" i="10"/>
  <c r="I93" i="10"/>
  <c r="J93" i="10"/>
  <c r="K93" i="10"/>
  <c r="L93" i="10"/>
  <c r="H94" i="10"/>
  <c r="I94" i="10"/>
  <c r="J94" i="10"/>
  <c r="K94" i="10"/>
  <c r="L94" i="10"/>
  <c r="H102" i="10"/>
  <c r="I102" i="10"/>
  <c r="J102" i="10"/>
  <c r="K102" i="10"/>
  <c r="L102" i="10"/>
  <c r="H112" i="10"/>
  <c r="I112" i="10"/>
  <c r="J112" i="10"/>
  <c r="K112" i="10"/>
  <c r="L112" i="10"/>
  <c r="N112" i="10"/>
  <c r="H120" i="10"/>
  <c r="I120" i="10"/>
  <c r="J120" i="10"/>
  <c r="K120" i="10"/>
  <c r="L120" i="10"/>
  <c r="H125" i="10"/>
  <c r="I125" i="10"/>
  <c r="J125" i="10"/>
  <c r="K125" i="10"/>
  <c r="L125" i="10"/>
  <c r="H126" i="10"/>
  <c r="I126" i="10"/>
  <c r="J126" i="10"/>
  <c r="K126" i="10"/>
  <c r="L126" i="10"/>
  <c r="H128" i="10"/>
  <c r="I128" i="10"/>
  <c r="J128" i="10"/>
  <c r="K128" i="10"/>
  <c r="L128" i="10"/>
  <c r="N128" i="10"/>
  <c r="H132" i="10"/>
  <c r="I132" i="10"/>
  <c r="J132" i="10"/>
  <c r="K132" i="10"/>
  <c r="L132" i="10"/>
  <c r="N132" i="10"/>
  <c r="H183" i="10"/>
  <c r="I183" i="10"/>
  <c r="J183" i="10"/>
  <c r="K183" i="10"/>
  <c r="L183" i="10"/>
  <c r="H184" i="10"/>
  <c r="I184" i="10"/>
  <c r="J184" i="10"/>
  <c r="K184" i="10"/>
  <c r="L184" i="10"/>
  <c r="H193" i="10"/>
  <c r="I193" i="10"/>
  <c r="J193" i="10"/>
  <c r="K193" i="10"/>
  <c r="L193" i="10"/>
  <c r="H194" i="10"/>
  <c r="I194" i="10"/>
  <c r="J194" i="10"/>
  <c r="K194" i="10"/>
  <c r="L194" i="10"/>
  <c r="I308" i="10"/>
  <c r="J308" i="10"/>
  <c r="K308" i="10"/>
  <c r="L308" i="10"/>
  <c r="H309" i="10"/>
  <c r="I309" i="10"/>
  <c r="J309" i="10"/>
  <c r="K309" i="10"/>
  <c r="L309" i="10"/>
  <c r="H310" i="10"/>
  <c r="I310" i="10"/>
  <c r="J310" i="10"/>
  <c r="K310" i="10"/>
  <c r="L310" i="10"/>
  <c r="H311" i="10"/>
  <c r="I311" i="10"/>
  <c r="J311" i="10"/>
  <c r="K311" i="10"/>
  <c r="L311" i="10"/>
  <c r="H314" i="10"/>
  <c r="I314" i="10"/>
  <c r="J314" i="10"/>
  <c r="K314" i="10"/>
  <c r="L314" i="10"/>
  <c r="N314" i="10"/>
  <c r="I330" i="10"/>
  <c r="J330" i="10"/>
  <c r="K330" i="10"/>
  <c r="L330" i="10"/>
  <c r="H331" i="10"/>
  <c r="I331" i="10"/>
  <c r="J331" i="10"/>
  <c r="K331" i="10"/>
  <c r="L331" i="10"/>
  <c r="H334" i="10"/>
  <c r="I334" i="10"/>
  <c r="J334" i="10"/>
  <c r="K334" i="10"/>
  <c r="L334" i="10"/>
  <c r="H335" i="10"/>
  <c r="I335" i="10"/>
  <c r="J335" i="10"/>
  <c r="K335" i="10"/>
  <c r="L335" i="10"/>
  <c r="I344" i="10"/>
  <c r="J344" i="10"/>
  <c r="K344" i="10"/>
  <c r="L344" i="10"/>
  <c r="H346" i="10"/>
  <c r="I346" i="10"/>
  <c r="J346" i="10"/>
  <c r="K346" i="10"/>
  <c r="L346" i="10"/>
  <c r="H347" i="10"/>
  <c r="I347" i="10"/>
  <c r="J347" i="10"/>
  <c r="K347" i="10"/>
  <c r="L347" i="10"/>
  <c r="I351" i="10"/>
  <c r="J351" i="10"/>
  <c r="K351" i="10"/>
  <c r="L351" i="10"/>
  <c r="H352" i="10"/>
  <c r="I352" i="10"/>
  <c r="J352" i="10"/>
  <c r="K352" i="10"/>
  <c r="L352" i="10"/>
  <c r="H354" i="10"/>
  <c r="I354" i="10"/>
  <c r="J354" i="10"/>
  <c r="K354" i="10"/>
  <c r="L354" i="10"/>
  <c r="H355" i="10"/>
  <c r="I355" i="10"/>
  <c r="J355" i="10"/>
  <c r="K355" i="10"/>
  <c r="L355" i="10"/>
  <c r="H370" i="10"/>
  <c r="I370" i="10"/>
  <c r="J370" i="10"/>
  <c r="K370" i="10"/>
  <c r="L370" i="10"/>
  <c r="H374" i="10"/>
  <c r="I374" i="10"/>
  <c r="J374" i="10"/>
  <c r="K374" i="10"/>
  <c r="L374" i="10"/>
  <c r="H375" i="10"/>
  <c r="I375" i="10"/>
  <c r="J375" i="10"/>
  <c r="K375" i="10"/>
  <c r="L375" i="10"/>
  <c r="H379" i="10"/>
  <c r="I379" i="10"/>
  <c r="J379" i="10"/>
  <c r="K379" i="10"/>
  <c r="L379" i="10"/>
  <c r="H386" i="10"/>
  <c r="I386" i="10"/>
  <c r="J386" i="10"/>
  <c r="K386" i="10"/>
  <c r="L386" i="10"/>
  <c r="N386" i="10"/>
  <c r="I387" i="10"/>
  <c r="J387" i="10"/>
  <c r="K387" i="10"/>
  <c r="L387" i="10"/>
  <c r="N387" i="10"/>
  <c r="H388" i="10"/>
  <c r="I388" i="10"/>
  <c r="J388" i="10"/>
  <c r="K388" i="10"/>
  <c r="L388" i="10"/>
  <c r="N388" i="10"/>
  <c r="I390" i="10"/>
  <c r="J390" i="10"/>
  <c r="K390" i="10"/>
  <c r="L390" i="10"/>
  <c r="N390" i="10"/>
  <c r="H391" i="10"/>
  <c r="I391" i="10"/>
  <c r="J391" i="10"/>
  <c r="K391" i="10"/>
  <c r="L391" i="10"/>
  <c r="N391" i="10"/>
  <c r="H392" i="10"/>
  <c r="I392" i="10"/>
  <c r="J392" i="10"/>
  <c r="K392" i="10"/>
  <c r="L392" i="10"/>
  <c r="I395" i="10"/>
  <c r="J395" i="10"/>
  <c r="K395" i="10"/>
  <c r="L395" i="10"/>
  <c r="H396" i="10"/>
  <c r="I396" i="10"/>
  <c r="J396" i="10"/>
  <c r="K396" i="10"/>
  <c r="L396" i="10"/>
  <c r="J398" i="10"/>
  <c r="K398" i="10"/>
  <c r="L398" i="10"/>
  <c r="I399" i="10"/>
  <c r="J399" i="10"/>
  <c r="K399" i="10"/>
  <c r="L399" i="10"/>
  <c r="I400" i="10"/>
  <c r="J400" i="10"/>
  <c r="K400" i="10"/>
  <c r="L400" i="10"/>
  <c r="I401" i="10"/>
  <c r="J401" i="10"/>
  <c r="K401" i="10"/>
  <c r="L401" i="10"/>
  <c r="D245" i="4"/>
  <c r="D254" i="4"/>
  <c r="D26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tc={45F0E66A-54A4-400A-A1A1-017B25A10B02}</author>
    <author>tc={F485DEE4-A83B-4927-9D16-CB047B68487C}</author>
    <author>tc={DF3A0B5C-AB3B-4D9C-B685-D12BDAC57E7A}</author>
    <author>tc={4E6EBBFE-D5AF-4858-853B-704DF996B95A}</author>
    <author>tc={7F745AF2-24D0-4877-89C5-62DD87BC90BE}</author>
    <author>tc={D37AC1D3-0EC5-47D1-868C-85B2A5431371}</author>
    <author>tc={215A715F-5CB6-4611-A48D-08A75444ED08}</author>
    <author>tc={8DE5D0BD-BA09-4DD0-9D43-A2FC7226B4B7}</author>
    <author>tc={8960B34C-938A-4DD9-8AE0-EC1298B86905}</author>
    <author>tc={39DE4B56-A729-41A7-B515-152FEFA34181}</author>
    <author>tc={086EDFAE-AAE6-42F2-BF7B-DA506275965A}</author>
    <author>tc={2853B727-A7B9-4799-81FF-2ED5A2621284}</author>
    <author>tc={43F66B82-5818-435A-AB45-980CFC318B26}</author>
    <author>tc={D99982EE-2D00-4BAB-9EA5-B21AB0B75AE6}</author>
    <author>tc={55F8507E-BA0D-4301-BC7D-53EF65DD91DB}</author>
    <author>tc={5E688277-7D56-4040-A8D8-7CECA9ACAE8A}</author>
    <author>tc={0A9CB175-D12F-4863-B373-5E25E959FE3D}</author>
    <author>tc={F394610F-5DC4-4417-921A-8113BB1B6827}</author>
    <author>tc={B6008C47-6D7E-42D2-B103-4084CFDF7F59}</author>
    <author>tc={A620749B-0A8A-44C9-969A-C21F72406094}</author>
    <author>tc={270A2C3F-4427-46A4-B5D1-8CD3A37896B2}</author>
    <author>tc={AE8B692C-F653-456E-9945-CEEDF86068C6}</author>
    <author>tc={B44DFD37-CDAF-40B4-98A2-DABE0CDC9EA6}</author>
    <author>tc={496D4DDD-022E-4C8B-BC36-C027105822AB}</author>
    <author>tc={2EFCD8B8-542B-4C8D-AFF8-3F4C661223E3}</author>
    <author>tc={D4E33358-AE91-47CD-B9EC-467FB1FD62C2}</author>
    <author>tc={F63A5D48-D5E9-4633-8423-0A2859022A36}</author>
    <author>tc={BA0E7A44-477C-4C4E-A355-34E828012CA3}</author>
    <author>tc={001BA8E0-962B-4BF8-AC76-27F6C71CA07E}</author>
    <author>tc={5A291DB0-2D1B-42C7-94DA-60778E494EEA}</author>
    <author>tc={6106C095-37BE-4F63-8D97-B7EB34F5B23C}</author>
    <author>tc={B57A41D8-5E55-4AC1-8CB1-F46B9BD3CAC8}</author>
    <author>tc={A3BBC52D-0D69-44C4-9A89-4D6188CC4276}</author>
    <author>tc={36851D49-5E46-44C0-87DA-71C273EBC3B7}</author>
    <author>tc={41166A0E-A26C-479E-AA24-9D1EC126B845}</author>
    <author>tc={E97D0DAD-9715-4377-A368-0A7075DC2672}</author>
    <author>tc={87F345D4-7A12-4918-87C9-2D1FC7378C3D}</author>
    <author>tc={E3DEE5B5-EB32-4F1B-BEF5-D82737168901}</author>
    <author>tc={0D8CE125-086A-4643-B958-0D6C80130DD5}</author>
    <author>tc={3D407309-71E7-4955-9A03-8C0B3630AE27}</author>
    <author>tc={27C7396E-C760-490B-8E8E-475CF613F2BE}</author>
    <author>tc={E7045F80-9B67-40AF-B300-8A3149F25586}</author>
    <author>tc={E2BB3083-61CC-4937-A9BF-C4E028962584}</author>
    <author>tc={1F00A3BA-EE48-4FA2-B786-8B9CC111F498}</author>
    <author>tc={E5C69E4B-FEC7-4F41-BE4C-B16D35A99F78}</author>
    <author>tc={EAF0881C-7AC4-41FE-81C6-970A8E93698B}</author>
    <author>tc={812489EA-1914-4E01-A059-F37F85C07F3A}</author>
  </authors>
  <commentList>
    <comment ref="C18" authorId="0" shapeId="0" xr:uid="{45F0E66A-54A4-400A-A1A1-017B25A10B02}">
      <text>
        <t>[Threaded comment]
Your version of Excel allows you to read this threaded comment; however, any edits to it will get removed if the file is opened in a newer version of Excel. Learn more: https://go.microsoft.com/fwlink/?linkid=870924
Comment:
    Staff costs plus external expenses. External expenses are rent and fees. External expenses includes rent expense of 10,485 in 2022 and 8,992 in 2021 due to an IFRS rule that allows payments on leases that are short-term or low in value to be directly expensed.</t>
      </text>
    </comment>
    <comment ref="C19" authorId="1" shapeId="0" xr:uid="{F485DEE4-A83B-4927-9D16-CB047B68487C}">
      <text>
        <t>[Threaded comment]
Your version of Excel allows you to read this threaded comment; however, any edits to it will get removed if the file is opened in a newer version of Excel. Learn more: https://go.microsoft.com/fwlink/?linkid=870924
Comment:
    Taxes other than income taxes, operating subsidies, misc. and unlabeled.</t>
      </text>
    </comment>
    <comment ref="C20" authorId="2" shapeId="0" xr:uid="{DF3A0B5C-AB3B-4D9C-B685-D12BDAC57E7A}">
      <text>
        <t>[Threaded comment]
Your version of Excel allows you to read this threaded comment; however, any edits to it will get removed if the file is opened in a newer version of Excel. Learn more: https://go.microsoft.com/fwlink/?linkid=870924
Comment:
    Differs from reported EBITDA due to different treatments of the Other Operating Income and Other Operating Income and Expenses line items</t>
      </text>
    </comment>
    <comment ref="C29" authorId="3" shapeId="0" xr:uid="{4E6EBBFE-D5AF-4858-853B-704DF996B95A}">
      <text>
        <t>[Threaded comment]
Your version of Excel allows you to read this threaded comment; however, any edits to it will get removed if the file is opened in a newer version of Excel. Learn more: https://go.microsoft.com/fwlink/?linkid=870924
Comment:
    FX gains and losses</t>
      </text>
    </comment>
    <comment ref="D34" authorId="4" shapeId="0" xr:uid="{7F745AF2-24D0-4877-89C5-62DD87BC90BE}">
      <text>
        <t>[Threaded comment]
Your version of Excel allows you to read this threaded comment; however, any edits to it will get removed if the file is opened in a newer version of Excel. Learn more: https://go.microsoft.com/fwlink/?linkid=870924
Comment:
    Sale of a business</t>
      </text>
    </comment>
    <comment ref="H34" authorId="5" shapeId="0" xr:uid="{D37AC1D3-0EC5-47D1-868C-85B2A5431371}">
      <text>
        <t>[Threaded comment]
Your version of Excel allows you to read this threaded comment; however, any edits to it will get removed if the file is opened in a newer version of Excel. Learn more: https://go.microsoft.com/fwlink/?linkid=870924
Comment:
    Capital gain on sale of Rubis Terminal. Source: Q1 2024 earnings call.</t>
      </text>
    </comment>
    <comment ref="C37" authorId="6" shapeId="0" xr:uid="{215A715F-5CB6-4611-A48D-08A75444ED08}">
      <text>
        <t>[Threaded comment]
Your version of Excel allows you to read this threaded comment; however, any edits to it will get removed if the file is opened in a newer version of Excel. Learn more: https://go.microsoft.com/fwlink/?linkid=870924
Comment:
    From statement of changes in equity</t>
      </text>
    </comment>
    <comment ref="C46" authorId="7" shapeId="0" xr:uid="{8DE5D0BD-BA09-4DD0-9D43-A2FC7226B4B7}">
      <text>
        <t>[Threaded comment]
Your version of Excel allows you to read this threaded comment; however, any edits to it will get removed if the file is opened in a newer version of Excel. Learn more: https://go.microsoft.com/fwlink/?linkid=870924
Comment:
    Rubis Terminal JV</t>
      </text>
    </comment>
    <comment ref="F54" authorId="8" shapeId="0" xr:uid="{8960B34C-938A-4DD9-8AE0-EC1298B86905}">
      <text>
        <t xml:space="preserve">[Threaded comment]
Your version of Excel allows you to read this threaded comment; however, any edits to it will get removed if the file is opened in a newer version of Excel. Learn more: https://go.microsoft.com/fwlink/?linkid=870924
Comment:
    Changes in Scope recorded in the financial statements are related to the acquisition of Photosol under the equity method. Photosol's assets and liabilities are added to the Rubis balance sheet. The 20% not acquired is listed as a minority interest.
</t>
      </text>
    </comment>
    <comment ref="C61" authorId="9" shapeId="0" xr:uid="{39DE4B56-A729-41A7-B515-152FEFA34181}">
      <text>
        <t>[Threaded comment]
Your version of Excel allows you to read this threaded comment; however, any edits to it will get removed if the file is opened in a newer version of Excel. Learn more: https://go.microsoft.com/fwlink/?linkid=870924
Comment:
    Reported as part of Other Current Assets.</t>
      </text>
    </comment>
    <comment ref="C62" authorId="10" shapeId="0" xr:uid="{086EDFAE-AAE6-42F2-BF7B-DA506275965A}">
      <text>
        <t>[Threaded comment]
Your version of Excel allows you to read this threaded comment; however, any edits to it will get removed if the file is opened in a newer version of Excel. Learn more: https://go.microsoft.com/fwlink/?linkid=870924
Comment:
    Was separated into ST investments and prepaid expenses</t>
      </text>
    </comment>
    <comment ref="C64" authorId="11" shapeId="0" xr:uid="{2853B727-A7B9-4799-81FF-2ED5A2621284}">
      <text>
        <t xml:space="preserve">[Threaded comment]
Your version of Excel allows you to read this threaded comment; however, any edits to it will get removed if the file is opened in a newer version of Excel. Learn more: https://go.microsoft.com/fwlink/?linkid=870924
Comment:
    Lease asset related to PP&amp;E. Is greater than the associated lease liability because IFRS requires that the asset include payments made before the lease begins, direct costs, and provisions/dismantling costs. These are in addition to the value of the liability which is the PV of future lease payments. </t>
      </text>
    </comment>
    <comment ref="C67" authorId="12" shapeId="0" xr:uid="{43F66B82-5818-435A-AB45-980CFC318B26}">
      <text>
        <t>[Threaded comment]
Your version of Excel allows you to read this threaded comment; however, any edits to it will get removed if the file is opened in a newer version of Excel. Learn more: https://go.microsoft.com/fwlink/?linkid=870924
Comment:
    Note 9. Increases or decreases by share of JV's income.</t>
      </text>
    </comment>
    <comment ref="C69" authorId="13" shapeId="0" xr:uid="{D99982EE-2D00-4BAB-9EA5-B21AB0B75AE6}">
      <text>
        <t>[Threaded comment]
Your version of Excel allows you to read this threaded comment; however, any edits to it will get removed if the file is opened in a newer version of Excel. Learn more: https://go.microsoft.com/fwlink/?linkid=870924
Comment:
    Repurposed to represent the series of payments for Rubis Terminal sale. Separated original financial statements line item into LT receivables and LT prepaid expenses.</t>
      </text>
    </comment>
    <comment ref="C73" authorId="14" shapeId="0" xr:uid="{55F8507E-BA0D-4301-BC7D-53EF65DD91DB}">
      <text>
        <t>[Threaded comment]
Your version of Excel allows you to read this threaded comment; however, any edits to it will get removed if the file is opened in a newer version of Excel. Learn more: https://go.microsoft.com/fwlink/?linkid=870924
Comment:
    Appears as 'Bank Overdrafts' and Accrued Interest on Overdrafts in notes to short-term debt in note 4.10.1.</t>
      </text>
    </comment>
    <comment ref="C76" authorId="15" shapeId="0" xr:uid="{5E688277-7D56-4040-A8D8-7CECA9ACAE8A}">
      <text>
        <t>[Threaded comment]
Your version of Excel allows you to read this threaded comment; however, any edits to it will get removed if the file is opened in a newer version of Excel. Learn more: https://go.microsoft.com/fwlink/?linkid=870924
Comment:
    All current debt not in revolver plus long-term debt.</t>
      </text>
    </comment>
    <comment ref="C80" authorId="16" shapeId="0" xr:uid="{0A9CB175-D12F-4863-B373-5E25E959FE3D}">
      <text>
        <t>[Threaded comment]
Your version of Excel allows you to read this threaded comment; however, any edits to it will get removed if the file is opened in a newer version of Excel. Learn more: https://go.microsoft.com/fwlink/?linkid=870924
Comment:
    Other provisions + other non-current liabilities. Includes 82 million commitment to buy back all the Photosol shares (recorded under minority interests) that are still held by its founders (see note 3.2 of 2022 URD for details)</t>
      </text>
    </comment>
    <comment ref="K80" authorId="17" shapeId="0" xr:uid="{F394610F-5DC4-4417-921A-8113BB1B6827}">
      <text>
        <t>[Threaded comment]
Your version of Excel allows you to read this threaded comment; however, any edits to it will get removed if the file is opened in a newer version of Excel. Learn more: https://go.microsoft.com/fwlink/?linkid=870924
Comment:
    Phase 1 of the buyback of the Photosol co-founders' minority interest. In 2022, Rubis recorded a liability (other non-current) related to their plan to make this transaction and decreased minority interests by the corresponding amount. Therefore, no further changes to minority interests are required. See note 3.2 in 2022 URD for details.</t>
      </text>
    </comment>
    <comment ref="L80" authorId="18" shapeId="0" xr:uid="{B6008C47-6D7E-42D2-B103-4084CFDF7F59}">
      <text>
        <t>[Threaded comment]
Your version of Excel allows you to read this threaded comment; however, any edits to it will get removed if the file is opened in a newer version of Excel. Learn more: https://go.microsoft.com/fwlink/?linkid=870924
Comment:
    Phase 2 of the buyback of the Photosol co-founders' minority interest. In 2022, Rubis recorded a liability (other non-current) related to their plan to make this transaction and decreased minority interests by the corresponding amount. Therefore, no further changes to minority interests are required. See note 3.2 in 2022 URD for details.</t>
      </text>
    </comment>
    <comment ref="C83" authorId="19" shapeId="0" xr:uid="{A620749B-0A8A-44C9-969A-C21F72406094}">
      <text>
        <t>[Threaded comment]
Your version of Excel allows you to read this threaded comment; however, any edits to it will get removed if the file is opened in a newer version of Excel. Learn more: https://go.microsoft.com/fwlink/?linkid=870924
Comment:
    Share capital + share premium (includes paid in capital)</t>
      </text>
    </comment>
    <comment ref="C84" authorId="20" shapeId="0" xr:uid="{270A2C3F-4427-46A4-B5D1-8CD3A37896B2}">
      <text>
        <t>[Threaded comment]
Your version of Excel allows you to read this threaded comment; however, any edits to it will get removed if the file is opened in a newer version of Excel. Learn more: https://go.microsoft.com/fwlink/?linkid=870924
Comment:
    Includes translation differences in Equity statement. Balance sheet includes treasury stock in this line item.</t>
      </text>
    </comment>
    <comment ref="C85" authorId="21" shapeId="0" xr:uid="{AE8B692C-F653-456E-9945-CEEDF86068C6}">
      <text>
        <t>[Threaded comment]
Your version of Excel allows you to read this threaded comment; however, any edits to it will get removed if the file is opened in a newer version of Excel. Learn more: https://go.microsoft.com/fwlink/?linkid=870924
Comment:
    From equity statement.</t>
      </text>
    </comment>
    <comment ref="C121" authorId="22" shapeId="0" xr:uid="{B44DFD37-CDAF-40B4-98A2-DABE0CDC9EA6}">
      <text>
        <t>[Threaded comment]
Your version of Excel allows you to read this threaded comment; however, any edits to it will get removed if the file is opened in a newer version of Excel. Learn more: https://go.microsoft.com/fwlink/?linkid=870924
Comment:
    Added back as it's a noncash expense. IFRS allows classification as either CFO or CFF.</t>
      </text>
    </comment>
    <comment ref="C122" authorId="23" shapeId="0" xr:uid="{496D4DDD-022E-4C8B-BC36-C027105822AB}">
      <text>
        <t>[Threaded comment]
Your version of Excel allows you to read this threaded comment; however, any edits to it will get removed if the file is opened in a newer version of Excel. Learn more: https://go.microsoft.com/fwlink/?linkid=870924
Comment:
    Actual cash outflow related to lease payments.</t>
      </text>
    </comment>
    <comment ref="K127" authorId="24" shapeId="0" xr:uid="{2EFCD8B8-542B-4C8D-AFF8-3F4C661223E3}">
      <text>
        <t>[Threaded comment]
Your version of Excel allows you to read this threaded comment; however, any edits to it will get removed if the file is opened in a newer version of Excel. Learn more: https://go.microsoft.com/fwlink/?linkid=870924
Comment:
    Phase 1 of the buyback of the Photosol co-founders' minority interest. In 2022, Rubis recorded a liability (other non-current) related to their plan to make this transaction and decreased minority interests by the corresponding amount. Therefore, no further changes to minority interests are required. See note 3.2 in 2022 URD for details.</t>
      </text>
    </comment>
    <comment ref="L127" authorId="25" shapeId="0" xr:uid="{D4E33358-AE91-47CD-B9EC-467FB1FD62C2}">
      <text>
        <t>[Threaded comment]
Your version of Excel allows you to read this threaded comment; however, any edits to it will get removed if the file is opened in a newer version of Excel. Learn more: https://go.microsoft.com/fwlink/?linkid=870924
Comment:
    Phase 2 of the buyback of the Photosol co-founders' minority interest. In 2022, Rubis recorded a liability (other non-current) related to their plan to make this transaction and decreased minority interests by the corresponding amount. Therefore, no further changes to minority interests are required. See note 3.2 in 2022 URD for details.</t>
      </text>
    </comment>
    <comment ref="C186" authorId="26" shapeId="0" xr:uid="{F63A5D48-D5E9-4633-8423-0A2859022A36}">
      <text>
        <t>[Threaded comment]
Your version of Excel allows you to read this threaded comment; however, any edits to it will get removed if the file is opened in a newer version of Excel. Learn more: https://go.microsoft.com/fwlink/?linkid=870924
Comment:
    Assumes changes impact ST assets and LT liabilities</t>
      </text>
    </comment>
    <comment ref="C192" authorId="27" shapeId="0" xr:uid="{BA0E7A44-477C-4C4E-A355-34E828012CA3}">
      <text>
        <t>[Threaded comment]
Your version of Excel allows you to read this threaded comment; however, any edits to it will get removed if the file is opened in a newer version of Excel. Learn more: https://go.microsoft.com/fwlink/?linkid=870924
Comment:
    Straight-line to reflect B/S assumption</t>
      </text>
    </comment>
    <comment ref="C207" authorId="28" shapeId="0" xr:uid="{001BA8E0-962B-4BF8-AC76-27F6C71CA07E}">
      <text>
        <t>[Threaded comment]
Your version of Excel allows you to read this threaded comment; however, any edits to it will get removed if the file is opened in a newer version of Excel. Learn more: https://go.microsoft.com/fwlink/?linkid=870924
Comment:
    Acquisitions in note 4.1.1</t>
      </text>
    </comment>
    <comment ref="H209" authorId="29" shapeId="0" xr:uid="{5A291DB0-2D1B-42C7-94DA-60778E494EEA}">
      <text>
        <t>[Threaded comment]
Your version of Excel allows you to read this threaded comment; however, any edits to it will get removed if the file is opened in a newer version of Excel. Learn more: https://go.microsoft.com/fwlink/?linkid=870924
Comment:
    Source: 2023 earnings call</t>
      </text>
    </comment>
    <comment ref="H210" authorId="30" shapeId="0" xr:uid="{6106C095-37BE-4F63-8D97-B7EB34F5B23C}">
      <text>
        <t>[Threaded comment]
Your version of Excel allows you to read this threaded comment; however, any edits to it will get removed if the file is opened in a newer version of Excel. Learn more: https://go.microsoft.com/fwlink/?linkid=870924
Comment:
    Source: 2023 earnings call</t>
      </text>
    </comment>
    <comment ref="C242" authorId="31" shapeId="0" xr:uid="{B57A41D8-5E55-4AC1-8CB1-F46B9BD3CAC8}">
      <text>
        <t>[Threaded comment]
Your version of Excel allows you to read this threaded comment; however, any edits to it will get removed if the file is opened in a newer version of Excel. Learn more: https://go.microsoft.com/fwlink/?linkid=870924
Comment:
    Acquisitions from note 4.3</t>
      </text>
    </comment>
    <comment ref="H244" authorId="32" shapeId="0" xr:uid="{A3BBC52D-0D69-44C4-9A89-4D6188CC4276}">
      <text>
        <t>[Threaded comment]
Your version of Excel allows you to read this threaded comment; however, any edits to it will get removed if the file is opened in a newer version of Excel. Learn more: https://go.microsoft.com/fwlink/?linkid=870924
Comment:
    Source: 2023 earnings call</t>
      </text>
    </comment>
    <comment ref="H245" authorId="33" shapeId="0" xr:uid="{36851D49-5E46-44C0-87DA-71C273EBC3B7}">
      <text>
        <t>[Threaded comment]
Your version of Excel allows you to read this threaded comment; however, any edits to it will get removed if the file is opened in a newer version of Excel. Learn more: https://go.microsoft.com/fwlink/?linkid=870924
Comment:
    Source: 2023 earnings call</t>
      </text>
    </comment>
    <comment ref="C267" authorId="34" shapeId="0" xr:uid="{41166A0E-A26C-479E-AA24-9D1EC126B845}">
      <text>
        <t>[Threaded comment]
Your version of Excel allows you to read this threaded comment; however, any edits to it will get removed if the file is opened in a newer version of Excel. Learn more: https://go.microsoft.com/fwlink/?linkid=870924
Comment:
    Footnote 4.1.2</t>
      </text>
    </comment>
    <comment ref="D269" authorId="35" shapeId="0" xr:uid="{E97D0DAD-9715-4377-A368-0A7075DC2672}">
      <text>
        <t xml:space="preserve">[Threaded comment]
Your version of Excel allows you to read this threaded comment; however, any edits to it will get removed if the file is opened in a newer version of Excel. Learn more: https://go.microsoft.com/fwlink/?linkid=870924
Comment:
    Excludes the 12,126 due to consolidation of Gulf Energy.
</t>
      </text>
    </comment>
    <comment ref="F269" authorId="36" shapeId="0" xr:uid="{87F345D4-7A12-4918-87C9-2D1FC7378C3D}">
      <text>
        <t xml:space="preserve">[Threaded comment]
Your version of Excel allows you to read this threaded comment; however, any edits to it will get removed if the file is opened in a newer version of Excel. Learn more: https://go.microsoft.com/fwlink/?linkid=870924
Comment:
    Excludes the 51,630 increase due to the Photosol acquisition.
</t>
      </text>
    </comment>
    <comment ref="C270" authorId="37" shapeId="0" xr:uid="{E3DEE5B5-EB32-4F1B-BEF5-D82737168901}">
      <text>
        <t>[Threaded comment]
Your version of Excel allows you to read this threaded comment; however, any edits to it will get removed if the file is opened in a newer version of Excel. Learn more: https://go.microsoft.com/fwlink/?linkid=870924
Comment:
    Calculated as the difference between accumulated depreciations in note 4.1.2</t>
      </text>
    </comment>
    <comment ref="C290" authorId="38" shapeId="0" xr:uid="{0D8CE125-086A-4643-B958-0D6C80130DD5}">
      <text>
        <t>[Threaded comment]
Your version of Excel allows you to read this threaded comment; however, any edits to it will get removed if the file is opened in a newer version of Excel. Learn more: https://go.microsoft.com/fwlink/?linkid=870924
Comment:
    Note 4.10.1</t>
      </text>
    </comment>
    <comment ref="D292" authorId="39" shapeId="0" xr:uid="{3D407309-71E7-4955-9A03-8C0B3630AE27}">
      <text>
        <t>[Threaded comment]
Your version of Excel allows you to read this threaded comment; however, any edits to it will get removed if the file is opened in a newer version of Excel. Learn more: https://go.microsoft.com/fwlink/?linkid=870924
Comment:
    2,230 change in scope related to the consolidation of Gulf Energy.</t>
      </text>
    </comment>
    <comment ref="F292" authorId="40" shapeId="0" xr:uid="{27C7396E-C760-490B-8E8E-475CF613F2BE}">
      <text>
        <t>[Threaded comment]
Your version of Excel allows you to read this threaded comment; however, any edits to it will get removed if the file is opened in a newer version of Excel. Learn more: https://go.microsoft.com/fwlink/?linkid=870924
Comment:
    Addition of 49,533 related to the Photosol acquisition.</t>
      </text>
    </comment>
    <comment ref="F293" authorId="41" shapeId="0" xr:uid="{E7045F80-9B67-40AF-B300-8A3149F25586}">
      <text>
        <t>[Threaded comment]
Your version of Excel allows you to read this threaded comment; however, any edits to it will get removed if the file is opened in a newer version of Excel. Learn more: https://go.microsoft.com/fwlink/?linkid=870924
Comment:
    2022 annual report pg. 259 and SCF</t>
      </text>
    </comment>
    <comment ref="H310" authorId="42" shapeId="0" xr:uid="{E2BB3083-61CC-4937-A9BF-C4E028962584}">
      <text>
        <t>[Threaded comment]
Your version of Excel allows you to read this threaded comment; however, any edits to it will get removed if the file is opened in a newer version of Excel. Learn more: https://go.microsoft.com/fwlink/?linkid=870924
Comment:
    Hard coded in the 75m distribution of capital gains from Terminals sale</t>
      </text>
    </comment>
    <comment ref="H313" authorId="43" shapeId="0" xr:uid="{1F00A3BA-EE48-4FA2-B786-8B9CC111F498}">
      <text>
        <t>[Threaded comment]
Your version of Excel allows you to read this threaded comment; however, any edits to it will get removed if the file is opened in a newer version of Excel. Learn more: https://go.microsoft.com/fwlink/?linkid=870924
Comment:
    Makes total dividend per share consistent with 2024 guidance of 1.92 + 0.75 (from rubis terminal disposal)</t>
      </text>
    </comment>
    <comment ref="C320" authorId="44" shapeId="0" xr:uid="{E5C69E4B-FEC7-4F41-BE4C-B16D35A99F78}">
      <text>
        <t>[Threaded comment]
Your version of Excel allows you to read this threaded comment; however, any edits to it will get removed if the file is opened in a newer version of Excel. Learn more: https://go.microsoft.com/fwlink/?linkid=870924
Comment:
    Includes portion attributed to retained earnings in financial reports.</t>
      </text>
    </comment>
    <comment ref="F335" authorId="45" shapeId="0" xr:uid="{EAF0881C-7AC4-41FE-81C6-970A8E93698B}">
      <text>
        <t>[Threaded comment]
Your version of Excel allows you to read this threaded comment; however, any edits to it will get removed if the file is opened in a newer version of Excel. Learn more: https://go.microsoft.com/fwlink/?linkid=870924
Comment:
    There was a large, one-time, change in scope in 2022 related to the Photosol acquisition that is not reflected in this schedule.</t>
      </text>
    </comment>
    <comment ref="C372" authorId="46" shapeId="0" xr:uid="{812489EA-1914-4E01-A059-F37F85C07F3A}">
      <text>
        <t>[Threaded comment]
Your version of Excel allows you to read this threaded comment; however, any edits to it will get removed if the file is opened in a newer version of Excel. Learn more: https://go.microsoft.com/fwlink/?linkid=870924
Comment:
    RUBIS does not disclose separate interest rates and interest expenses by debt type. If this data is found, split schedule into revolver and term debt.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tc={D18FA0D0-01D3-41D2-80D1-4040FA05EAEF}</author>
  </authors>
  <commentList>
    <comment ref="G9" authorId="0" shapeId="0" xr:uid="{D18FA0D0-01D3-41D2-80D1-4040FA05EAEF}">
      <text>
        <t>[Threaded comment]
Your version of Excel allows you to read this threaded comment; however, any edits to it will get removed if the file is opened in a newer version of Excel. Learn more: https://go.microsoft.com/fwlink/?linkid=870924
Comment:
    Does not match value on the income statement because certain disclosures are rounded to the nearest million euro.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tc={8D5DF3FD-71A7-4771-BAFB-90B7BEF58BAE}</author>
    <author>tc={98EE6957-4AD6-4BD1-8627-4C48631ECC04}</author>
    <author>tc={F312DF95-5364-4F6E-9ED6-E297C11906F2}</author>
    <author>tc={8DB153FB-E7DC-4CD7-85CF-0EF400B8D28D}</author>
    <author>tc={A9A3009D-3972-44E4-8C08-38A1437E1FBA}</author>
    <author>tc={1BBA5904-D96F-4A37-8C94-D66191C1D132}</author>
    <author>tc={0A32E8E0-D414-4E10-8A6C-1F1F990E125A}</author>
    <author>tc={FDE8607E-354F-46EF-B89F-B4D46C221653}</author>
    <author>tc={C8ED48EF-C855-4642-BE22-D249F5378286}</author>
    <author>tc={ED8C4FA7-F070-4F28-92F7-E57D548FF035}</author>
    <author>tc={26F1C06B-8A12-4140-B8C2-93860C044556}</author>
    <author>tc={D115002C-DDCE-4A99-B65F-D8CDDCC74E72}</author>
    <author>tc={CADABA9A-5C0E-47B5-BAB4-90D09E3A96A0}</author>
    <author>tc={95582D16-DEAD-4640-80CA-15E40DF6F71D}</author>
    <author>tc={AB1E62CB-B782-4410-937C-1AD24C81BC14}</author>
    <author>tc={4085188F-4FC2-4727-A4F0-1256029B308C}</author>
    <author>tc={501317F8-46EF-4D45-B104-8A9ECF67A3DF}</author>
    <author>tc={1219A772-E38B-4005-BDF7-79051FB275D0}</author>
    <author>tc={7FB8CF94-7411-4DA5-930A-475221B7E15E}</author>
    <author>tc={532EDE55-A470-496B-BF43-FC2271099877}</author>
    <author>tc={B9798375-6E6C-43E9-B82E-24A1ADFE8060}</author>
    <author>tc={D0381A12-1A79-4E92-BCB1-02641EB64DFE}</author>
    <author>tc={B3CECC4F-86AD-4F8D-99EE-CD42A45E6312}</author>
    <author>tc={C43D600D-5B55-4E9E-8A70-3AC7444A45F5}</author>
  </authors>
  <commentList>
    <comment ref="C19" authorId="0" shapeId="0" xr:uid="{8D5DF3FD-71A7-4771-BAFB-90B7BEF58BAE}">
      <text>
        <t>[Threaded comment]
Your version of Excel allows you to read this threaded comment; however, any edits to it will get removed if the file is opened in a newer version of Excel. Learn more: https://go.microsoft.com/fwlink/?linkid=870924
Comment:
    Modeled on a per-region basis due to insufficient product-level data.</t>
      </text>
    </comment>
    <comment ref="G22" authorId="1" shapeId="0" xr:uid="{98EE6957-4AD6-4BD1-8627-4C48631ECC04}">
      <text>
        <t>[Threaded comment]
Your version of Excel allows you to read this threaded comment; however, any edits to it will get removed if the file is opened in a newer version of Excel. Learn more: https://go.microsoft.com/fwlink/?linkid=870924
Comment:
    Note 5.1 (revenues) now consolidates the entire Energies segment rather than disclosing individual sub-groups. Therefore, data was pulled from the Operating Results section which rounds to the nearest million.</t>
      </text>
    </comment>
    <comment ref="C32" authorId="2" shapeId="0" xr:uid="{F312DF95-5364-4F6E-9ED6-E297C11906F2}">
      <text>
        <t>[Threaded comment]
Your version of Excel allows you to read this threaded comment; however, any edits to it will get removed if the file is opened in a newer version of Excel. Learn more: https://go.microsoft.com/fwlink/?linkid=870924
Comment:
    Used to calculate revenue</t>
      </text>
    </comment>
    <comment ref="C39" authorId="3" shapeId="0" xr:uid="{8DB153FB-E7DC-4CD7-85CF-0EF400B8D28D}">
      <text>
        <t>[Threaded comment]
Your version of Excel allows you to read this threaded comment; however, any edits to it will get removed if the file is opened in a newer version of Excel. Learn more: https://go.microsoft.com/fwlink/?linkid=870924
Comment:
    Expand grouped cells to input product-level volumes</t>
      </text>
    </comment>
    <comment ref="E50" authorId="4" shapeId="0" xr:uid="{A9A3009D-3972-44E4-8C08-38A1437E1FBA}">
      <text>
        <t>[Threaded comment]
Your version of Excel allows you to read this threaded comment; however, any edits to it will get removed if the file is opened in a newer version of Excel. Learn more: https://go.microsoft.com/fwlink/?linkid=870924
Comment:
    Half of pre-pandemic volumes of roughly 375</t>
      </text>
    </comment>
    <comment ref="E90" authorId="5" shapeId="0" xr:uid="{1BBA5904-D96F-4A37-8C94-D66191C1D132}">
      <text>
        <t>[Threaded comment]
Your version of Excel allows you to read this threaded comment; however, any edits to it will get removed if the file is opened in a newer version of Excel. Learn more: https://go.microsoft.com/fwlink/?linkid=870924
Comment:
    From Haiti situation</t>
      </text>
    </comment>
    <comment ref="D124" authorId="6" shapeId="0" xr:uid="{0A32E8E0-D414-4E10-8A6C-1F1F990E125A}">
      <text>
        <t xml:space="preserve">[Threaded comment]
Your version of Excel allows you to read this threaded comment; however, any edits to it will get removed if the file is opened in a newer version of Excel. Learn more: https://go.microsoft.com/fwlink/?linkid=870924
Comment:
    Source: 2021 annual report pg. 39
</t>
      </text>
    </comment>
    <comment ref="E124" authorId="7" shapeId="0" xr:uid="{FDE8607E-354F-46EF-B89F-B4D46C221653}">
      <text>
        <t>[Threaded comment]
Your version of Excel allows you to read this threaded comment; however, any edits to it will get removed if the file is opened in a newer version of Excel. Learn more: https://go.microsoft.com/fwlink/?linkid=870924
Comment:
    Source: 2021 annual report pg. 39</t>
      </text>
    </comment>
    <comment ref="F124" authorId="8" shapeId="0" xr:uid="{C8ED48EF-C855-4642-BE22-D249F5378286}">
      <text>
        <t>[Threaded comment]
Your version of Excel allows you to read this threaded comment; however, any edits to it will get removed if the file is opened in a newer version of Excel. Learn more: https://go.microsoft.com/fwlink/?linkid=870924
Comment:
    Source: FY 2022 financial results press release</t>
      </text>
    </comment>
    <comment ref="G124" authorId="9" shapeId="0" xr:uid="{ED8C4FA7-F070-4F28-92F7-E57D548FF035}">
      <text>
        <t>[Threaded comment]
Your version of Excel allows you to read this threaded comment; however, any edits to it will get removed if the file is opened in a newer version of Excel. Learn more: https://go.microsoft.com/fwlink/?linkid=870924
Comment:
    Source: 2023 URD. Note: these are adjusted margins pending the disclosure of unadjusted margins.</t>
      </text>
    </comment>
    <comment ref="F142" authorId="10" shapeId="0" xr:uid="{26F1C06B-8A12-4140-B8C2-93860C044556}">
      <text>
        <t>[Threaded comment]
Your version of Excel allows you to read this threaded comment; however, any edits to it will get removed if the file is opened in a newer version of Excel. Learn more: https://go.microsoft.com/fwlink/?linkid=870924
Comment:
    Adjusted for FX passthrough in Nigeria, otherwise would have been 801 million</t>
      </text>
    </comment>
    <comment ref="C180" authorId="11" shapeId="0" xr:uid="{D115002C-DDCE-4A99-B65F-D8CDDCC74E72}">
      <text>
        <t>[Threaded comment]
Your version of Excel allows you to read this threaded comment; however, any edits to it will get removed if the file is opened in a newer version of Excel. Learn more: https://go.microsoft.com/fwlink/?linkid=870924
Comment:
    Source: Note 5.1. Revenue includes pipe and port operations in the Caribbean and Indian Ocean. However, these and vessel revenues are not broken out separately in company disclosures.</t>
      </text>
    </comment>
    <comment ref="C183" authorId="12" shapeId="0" xr:uid="{CADABA9A-5C0E-47B5-BAB4-90D09E3A96A0}">
      <text>
        <t xml:space="preserve">[Threaded comment]
Your version of Excel allows you to read this threaded comment; however, any edits to it will get removed if the file is opened in a newer version of Excel. Learn more: https://go.microsoft.com/fwlink/?linkid=870924
Comment:
    Source: Baltic Dirty Tanker Index Today (BAID) - Investing.com </t>
      </text>
    </comment>
    <comment ref="C198" authorId="13" shapeId="0" xr:uid="{95582D16-DEAD-4640-80CA-15E40DF6F71D}">
      <text>
        <t xml:space="preserve">[Threaded comment]
Your version of Excel allows you to read this threaded comment; however, any edits to it will get removed if the file is opened in a newer version of Excel. Learn more: https://go.microsoft.com/fwlink/?linkid=870924
Comment:
    Rubis does not disclose detailed refining data. Assumptions were made based off of industry statistics to approximate revenue per barrel, COGS, and margins </t>
      </text>
    </comment>
    <comment ref="C200" authorId="14" shapeId="0" xr:uid="{AB1E62CB-B782-4410-937C-1AD24C81BC14}">
      <text>
        <t>[Threaded comment]
Your version of Excel allows you to read this threaded comment; however, any edits to it will get removed if the file is opened in a newer version of Excel. Learn more: https://go.microsoft.com/fwlink/?linkid=870924
Comment:
    This is how Rubis reports its refining capacity</t>
      </text>
    </comment>
    <comment ref="C201" authorId="15" shapeId="0" xr:uid="{4085188F-4FC2-4727-A4F0-1256029B308C}">
      <text>
        <t>[Threaded comment]
Your version of Excel allows you to read this threaded comment; however, any edits to it will get removed if the file is opened in a newer version of Excel. Learn more: https://go.microsoft.com/fwlink/?linkid=870924
Comment:
    Source: BP for a basket of products</t>
      </text>
    </comment>
    <comment ref="C202" authorId="16" shapeId="0" xr:uid="{501317F8-46EF-4D45-B104-8A9ECF67A3DF}">
      <text>
        <t>[Threaded comment]
Your version of Excel allows you to read this threaded comment; however, any edits to it will get removed if the file is opened in a newer version of Excel. Learn more: https://go.microsoft.com/fwlink/?linkid=870924
Comment:
    Ignores fluctuations in refinery usage due to lack of data</t>
      </text>
    </comment>
    <comment ref="C220" authorId="17" shapeId="0" xr:uid="{1219A772-E38B-4005-BDF7-79051FB275D0}">
      <text>
        <t>[Threaded comment]
Your version of Excel allows you to read this threaded comment; however, any edits to it will get removed if the file is opened in a newer version of Excel. Learn more: https://go.microsoft.com/fwlink/?linkid=870924
Comment:
    Source: U.S. Energy Information Administration</t>
      </text>
    </comment>
    <comment ref="C232" authorId="18" shapeId="0" xr:uid="{7FB8CF94-7411-4DA5-930A-475221B7E15E}">
      <text>
        <t>[Threaded comment]
Your version of Excel allows you to read this threaded comment; however, any edits to it will get removed if the file is opened in a newer version of Excel. Learn more: https://go.microsoft.com/fwlink/?linkid=870924
Comment:
    1 barrel of oil is equal 6.289811 cubic meters of oil</t>
      </text>
    </comment>
    <comment ref="C233" authorId="19" shapeId="0" xr:uid="{532EDE55-A470-496B-BF43-FC2271099877}">
      <text>
        <t>[Threaded comment]
Your version of Excel allows you to read this threaded comment; however, any edits to it will get removed if the file is opened in a newer version of Excel. Learn more: https://go.microsoft.com/fwlink/?linkid=870924
Comment:
    Source: ECB</t>
      </text>
    </comment>
    <comment ref="C235" authorId="20" shapeId="0" xr:uid="{B9798375-6E6C-43E9-B82E-24A1ADFE8060}">
      <text>
        <t>[Threaded comment]
Your version of Excel allows you to read this threaded comment; however, any edits to it will get removed if the file is opened in a newer version of Excel. Learn more: https://go.microsoft.com/fwlink/?linkid=870924
Comment:
    Ignores FX impacts</t>
      </text>
    </comment>
    <comment ref="C236" authorId="21" shapeId="0" xr:uid="{D0381A12-1A79-4E92-BCB1-02641EB64DFE}">
      <text>
        <t>[Threaded comment]
Your version of Excel allows you to read this threaded comment; however, any edits to it will get removed if the file is opened in a newer version of Excel. Learn more: https://go.microsoft.com/fwlink/?linkid=870924
Comment:
    Ignores FX impacts</t>
      </text>
    </comment>
    <comment ref="C237" authorId="22" shapeId="0" xr:uid="{B3CECC4F-86AD-4F8D-99EE-CD42A45E6312}">
      <text>
        <t>[Threaded comment]
Your version of Excel allows you to read this threaded comment; however, any edits to it will get removed if the file is opened in a newer version of Excel. Learn more: https://go.microsoft.com/fwlink/?linkid=870924
Comment:
    Ignores FX impacts</t>
      </text>
    </comment>
    <comment ref="C238" authorId="23" shapeId="0" xr:uid="{C43D600D-5B55-4E9E-8A70-3AC7444A45F5}">
      <text>
        <t>[Threaded comment]
Your version of Excel allows you to read this threaded comment; however, any edits to it will get removed if the file is opened in a newer version of Excel. Learn more: https://go.microsoft.com/fwlink/?linkid=870924
Comment:
    Ignores FX impacts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tc={03F184DD-466A-4417-96A7-5BDA4FDA0031}</author>
    <author>tc={19FF85D3-71B9-4C3E-9211-22C079DB1683}</author>
    <author>tc={2330EDBF-F5C2-408C-86EE-A776D3A6ED79}</author>
    <author>tc={E782BF34-4584-447D-8B94-745C90A91192}</author>
  </authors>
  <commentList>
    <comment ref="C10" authorId="0" shapeId="0" xr:uid="{03F184DD-466A-4417-96A7-5BDA4FDA0031}">
      <text>
        <t>[Threaded comment]
Your version of Excel allows you to read this threaded comment; however, any edits to it will get removed if the file is opened in a newer version of Excel. Learn more: https://go.microsoft.com/fwlink/?linkid=870924
Comment:
    The maximum capacity, measured under ideal laboratory conditions.</t>
      </text>
    </comment>
    <comment ref="C11" authorId="1" shapeId="0" xr:uid="{19FF85D3-71B9-4C3E-9211-22C079DB1683}">
      <text>
        <t>[Threaded comment]
Your version of Excel allows you to read this threaded comment; however, any edits to it will get removed if the file is opened in a newer version of Excel. Learn more: https://go.microsoft.com/fwlink/?linkid=870924
Comment:
    Actual output.</t>
      </text>
    </comment>
    <comment ref="C12" authorId="2" shapeId="0" xr:uid="{2330EDBF-F5C2-408C-86EE-A776D3A6ED79}">
      <text>
        <t>[Threaded comment]
Your version of Excel allows you to read this threaded comment; however, any edits to it will get removed if the file is opened in a newer version of Excel. Learn more: https://go.microsoft.com/fwlink/?linkid=870924
Comment:
    Represents the fact that solar plants do not operate 24/7 under perfect conditions. Note: there are 1,000 MW per GW.</t>
      </text>
    </comment>
    <comment ref="C20" authorId="3" shapeId="0" xr:uid="{E782BF34-4584-447D-8B94-745C90A91192}">
      <text>
        <t>[Threaded comment]
Your version of Excel allows you to read this threaded comment; however, any edits to it will get removed if the file is opened in a newer version of Excel. Learn more: https://go.microsoft.com/fwlink/?linkid=870924
Comment:
    2022 annual report. Calculated off of management's target of 1000 MWp of capacity installed by 2026 for a total investment of 700m euros.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tc={740F431E-5A9E-4C2B-9E0F-7B11343832A7}</author>
    <author>tc={2CEDF134-1128-4588-96F2-44F5FA82D93F}</author>
    <author>tc={952E0E17-E6C7-489F-9526-4FEBBDB411C1}</author>
  </authors>
  <commentList>
    <comment ref="C10" authorId="0" shapeId="0" xr:uid="{740F431E-5A9E-4C2B-9E0F-7B11343832A7}">
      <text>
        <t>[Threaded comment]
Your version of Excel allows you to read this threaded comment; however, any edits to it will get removed if the file is opened in a newer version of Excel. Learn more: https://go.microsoft.com/fwlink/?linkid=870924
Comment:
    All shares were cancelled in FY 2023</t>
      </text>
    </comment>
    <comment ref="C11" authorId="1" shapeId="0" xr:uid="{2CEDF134-1128-4588-96F2-44F5FA82D93F}">
      <text>
        <t>[Threaded comment]
Your version of Excel allows you to read this threaded comment; however, any edits to it will get removed if the file is opened in a newer version of Excel. Learn more: https://go.microsoft.com/fwlink/?linkid=870924
Comment:
    2,762 shares cancelled in FY2023</t>
      </text>
    </comment>
    <comment ref="C20" authorId="2" shapeId="0" xr:uid="{952E0E17-E6C7-489F-9526-4FEBBDB411C1}">
      <text>
        <t>[Threaded comment]
Your version of Excel allows you to read this threaded comment; however, any edits to it will get removed if the file is opened in a newer version of Excel. Learn more: https://go.microsoft.com/fwlink/?linkid=870924
Comment:
    Placeholder, Rubis has no convertible securities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tc={69C8EB81-66C6-4D49-871D-74713CA03265}</author>
    <author>tc={29B76B47-0424-43A9-A8D9-C756E13FDB24}</author>
    <author>tc={EEFFA260-3E3F-40BB-B60B-22FEEBDF76E9}</author>
    <author>tc={852BA63C-5E9C-4E93-8297-47FD7617EABC}</author>
  </authors>
  <commentList>
    <comment ref="C22" authorId="0" shapeId="0" xr:uid="{69C8EB81-66C6-4D49-871D-74713CA03265}">
      <text>
        <t>[Threaded comment]
Your version of Excel allows you to read this threaded comment; however, any edits to it will get removed if the file is opened in a newer version of Excel. Learn more: https://go.microsoft.com/fwlink/?linkid=870924
Comment:
    Used to account for the repayment of Photosol founders. See note 3.2 of 2022 URD for details.</t>
      </text>
    </comment>
    <comment ref="C29" authorId="1" shapeId="0" xr:uid="{29B76B47-0424-43A9-A8D9-C756E13FDB24}">
      <text>
        <t>[Threaded comment]
Your version of Excel allows you to read this threaded comment; however, any edits to it will get removed if the file is opened in a newer version of Excel. Learn more: https://go.microsoft.com/fwlink/?linkid=870924
Comment:
    Used to account for the repayment of Photosol founders. See note 3.2 of 2022 URD for details.</t>
      </text>
    </comment>
    <comment ref="J81" authorId="2" shapeId="0" xr:uid="{EEFFA260-3E3F-40BB-B60B-22FEEBDF76E9}">
      <text>
        <t>[Threaded comment]
Your version of Excel allows you to read this threaded comment; however, any edits to it will get removed if the file is opened in a newer version of Excel. Learn more: https://go.microsoft.com/fwlink/?linkid=870924
Comment:
    French 30 year government bond yield</t>
      </text>
    </comment>
    <comment ref="H83" authorId="3" shapeId="0" xr:uid="{852BA63C-5E9C-4E93-8297-47FD7617EABC}">
      <text>
        <t xml:space="preserve">[Threaded comment]
Your version of Excel allows you to read this threaded comment; however, any edits to it will get removed if the file is opened in a newer version of Excel. Learn more: https://go.microsoft.com/fwlink/?linkid=870924
Comment:
    Source: pages.stern.nyu.edu/~adamodar/New_Home_Page/datafile/ctryprem.html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760">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6"/>
        </ext>
      </extLst>
    </bk>
    <bk>
      <extLst>
        <ext uri="{3e2802c4-a4d2-4d8b-9148-e3be6c30e623}">
          <xlrd:rvb i="167"/>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1"/>
        </ext>
      </extLst>
    </bk>
    <bk>
      <extLst>
        <ext uri="{3e2802c4-a4d2-4d8b-9148-e3be6c30e623}">
          <xlrd:rvb i="172"/>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76"/>
        </ext>
      </extLst>
    </bk>
    <bk>
      <extLst>
        <ext uri="{3e2802c4-a4d2-4d8b-9148-e3be6c30e623}">
          <xlrd:rvb i="177"/>
        </ext>
      </extLst>
    </bk>
    <bk>
      <extLst>
        <ext uri="{3e2802c4-a4d2-4d8b-9148-e3be6c30e623}">
          <xlrd:rvb i="178"/>
        </ext>
      </extLst>
    </bk>
    <bk>
      <extLst>
        <ext uri="{3e2802c4-a4d2-4d8b-9148-e3be6c30e623}">
          <xlrd:rvb i="179"/>
        </ext>
      </extLst>
    </bk>
    <bk>
      <extLst>
        <ext uri="{3e2802c4-a4d2-4d8b-9148-e3be6c30e623}">
          <xlrd:rvb i="180"/>
        </ext>
      </extLst>
    </bk>
    <bk>
      <extLst>
        <ext uri="{3e2802c4-a4d2-4d8b-9148-e3be6c30e623}">
          <xlrd:rvb i="181"/>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5"/>
        </ext>
      </extLst>
    </bk>
    <bk>
      <extLst>
        <ext uri="{3e2802c4-a4d2-4d8b-9148-e3be6c30e623}">
          <xlrd:rvb i="186"/>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bk>
      <extLst>
        <ext uri="{3e2802c4-a4d2-4d8b-9148-e3be6c30e623}">
          <xlrd:rvb i="214"/>
        </ext>
      </extLst>
    </bk>
    <bk>
      <extLst>
        <ext uri="{3e2802c4-a4d2-4d8b-9148-e3be6c30e623}">
          <xlrd:rvb i="215"/>
        </ext>
      </extLst>
    </bk>
    <bk>
      <extLst>
        <ext uri="{3e2802c4-a4d2-4d8b-9148-e3be6c30e623}">
          <xlrd:rvb i="216"/>
        </ext>
      </extLst>
    </bk>
    <bk>
      <extLst>
        <ext uri="{3e2802c4-a4d2-4d8b-9148-e3be6c30e623}">
          <xlrd:rvb i="217"/>
        </ext>
      </extLst>
    </bk>
    <bk>
      <extLst>
        <ext uri="{3e2802c4-a4d2-4d8b-9148-e3be6c30e623}">
          <xlrd:rvb i="218"/>
        </ext>
      </extLst>
    </bk>
    <bk>
      <extLst>
        <ext uri="{3e2802c4-a4d2-4d8b-9148-e3be6c30e623}">
          <xlrd:rvb i="219"/>
        </ext>
      </extLst>
    </bk>
    <bk>
      <extLst>
        <ext uri="{3e2802c4-a4d2-4d8b-9148-e3be6c30e623}">
          <xlrd:rvb i="220"/>
        </ext>
      </extLst>
    </bk>
    <bk>
      <extLst>
        <ext uri="{3e2802c4-a4d2-4d8b-9148-e3be6c30e623}">
          <xlrd:rvb i="221"/>
        </ext>
      </extLst>
    </bk>
    <bk>
      <extLst>
        <ext uri="{3e2802c4-a4d2-4d8b-9148-e3be6c30e623}">
          <xlrd:rvb i="222"/>
        </ext>
      </extLst>
    </bk>
    <bk>
      <extLst>
        <ext uri="{3e2802c4-a4d2-4d8b-9148-e3be6c30e623}">
          <xlrd:rvb i="223"/>
        </ext>
      </extLst>
    </bk>
    <bk>
      <extLst>
        <ext uri="{3e2802c4-a4d2-4d8b-9148-e3be6c30e623}">
          <xlrd:rvb i="224"/>
        </ext>
      </extLst>
    </bk>
    <bk>
      <extLst>
        <ext uri="{3e2802c4-a4d2-4d8b-9148-e3be6c30e623}">
          <xlrd:rvb i="225"/>
        </ext>
      </extLst>
    </bk>
    <bk>
      <extLst>
        <ext uri="{3e2802c4-a4d2-4d8b-9148-e3be6c30e623}">
          <xlrd:rvb i="226"/>
        </ext>
      </extLst>
    </bk>
    <bk>
      <extLst>
        <ext uri="{3e2802c4-a4d2-4d8b-9148-e3be6c30e623}">
          <xlrd:rvb i="227"/>
        </ext>
      </extLst>
    </bk>
    <bk>
      <extLst>
        <ext uri="{3e2802c4-a4d2-4d8b-9148-e3be6c30e623}">
          <xlrd:rvb i="228"/>
        </ext>
      </extLst>
    </bk>
    <bk>
      <extLst>
        <ext uri="{3e2802c4-a4d2-4d8b-9148-e3be6c30e623}">
          <xlrd:rvb i="229"/>
        </ext>
      </extLst>
    </bk>
    <bk>
      <extLst>
        <ext uri="{3e2802c4-a4d2-4d8b-9148-e3be6c30e623}">
          <xlrd:rvb i="230"/>
        </ext>
      </extLst>
    </bk>
    <bk>
      <extLst>
        <ext uri="{3e2802c4-a4d2-4d8b-9148-e3be6c30e623}">
          <xlrd:rvb i="231"/>
        </ext>
      </extLst>
    </bk>
    <bk>
      <extLst>
        <ext uri="{3e2802c4-a4d2-4d8b-9148-e3be6c30e623}">
          <xlrd:rvb i="232"/>
        </ext>
      </extLst>
    </bk>
    <bk>
      <extLst>
        <ext uri="{3e2802c4-a4d2-4d8b-9148-e3be6c30e623}">
          <xlrd:rvb i="233"/>
        </ext>
      </extLst>
    </bk>
    <bk>
      <extLst>
        <ext uri="{3e2802c4-a4d2-4d8b-9148-e3be6c30e623}">
          <xlrd:rvb i="234"/>
        </ext>
      </extLst>
    </bk>
    <bk>
      <extLst>
        <ext uri="{3e2802c4-a4d2-4d8b-9148-e3be6c30e623}">
          <xlrd:rvb i="235"/>
        </ext>
      </extLst>
    </bk>
    <bk>
      <extLst>
        <ext uri="{3e2802c4-a4d2-4d8b-9148-e3be6c30e623}">
          <xlrd:rvb i="236"/>
        </ext>
      </extLst>
    </bk>
    <bk>
      <extLst>
        <ext uri="{3e2802c4-a4d2-4d8b-9148-e3be6c30e623}">
          <xlrd:rvb i="237"/>
        </ext>
      </extLst>
    </bk>
    <bk>
      <extLst>
        <ext uri="{3e2802c4-a4d2-4d8b-9148-e3be6c30e623}">
          <xlrd:rvb i="238"/>
        </ext>
      </extLst>
    </bk>
    <bk>
      <extLst>
        <ext uri="{3e2802c4-a4d2-4d8b-9148-e3be6c30e623}">
          <xlrd:rvb i="239"/>
        </ext>
      </extLst>
    </bk>
    <bk>
      <extLst>
        <ext uri="{3e2802c4-a4d2-4d8b-9148-e3be6c30e623}">
          <xlrd:rvb i="240"/>
        </ext>
      </extLst>
    </bk>
    <bk>
      <extLst>
        <ext uri="{3e2802c4-a4d2-4d8b-9148-e3be6c30e623}">
          <xlrd:rvb i="241"/>
        </ext>
      </extLst>
    </bk>
    <bk>
      <extLst>
        <ext uri="{3e2802c4-a4d2-4d8b-9148-e3be6c30e623}">
          <xlrd:rvb i="242"/>
        </ext>
      </extLst>
    </bk>
    <bk>
      <extLst>
        <ext uri="{3e2802c4-a4d2-4d8b-9148-e3be6c30e623}">
          <xlrd:rvb i="243"/>
        </ext>
      </extLst>
    </bk>
    <bk>
      <extLst>
        <ext uri="{3e2802c4-a4d2-4d8b-9148-e3be6c30e623}">
          <xlrd:rvb i="244"/>
        </ext>
      </extLst>
    </bk>
    <bk>
      <extLst>
        <ext uri="{3e2802c4-a4d2-4d8b-9148-e3be6c30e623}">
          <xlrd:rvb i="245"/>
        </ext>
      </extLst>
    </bk>
    <bk>
      <extLst>
        <ext uri="{3e2802c4-a4d2-4d8b-9148-e3be6c30e623}">
          <xlrd:rvb i="246"/>
        </ext>
      </extLst>
    </bk>
    <bk>
      <extLst>
        <ext uri="{3e2802c4-a4d2-4d8b-9148-e3be6c30e623}">
          <xlrd:rvb i="247"/>
        </ext>
      </extLst>
    </bk>
    <bk>
      <extLst>
        <ext uri="{3e2802c4-a4d2-4d8b-9148-e3be6c30e623}">
          <xlrd:rvb i="248"/>
        </ext>
      </extLst>
    </bk>
    <bk>
      <extLst>
        <ext uri="{3e2802c4-a4d2-4d8b-9148-e3be6c30e623}">
          <xlrd:rvb i="249"/>
        </ext>
      </extLst>
    </bk>
    <bk>
      <extLst>
        <ext uri="{3e2802c4-a4d2-4d8b-9148-e3be6c30e623}">
          <xlrd:rvb i="250"/>
        </ext>
      </extLst>
    </bk>
    <bk>
      <extLst>
        <ext uri="{3e2802c4-a4d2-4d8b-9148-e3be6c30e623}">
          <xlrd:rvb i="251"/>
        </ext>
      </extLst>
    </bk>
    <bk>
      <extLst>
        <ext uri="{3e2802c4-a4d2-4d8b-9148-e3be6c30e623}">
          <xlrd:rvb i="252"/>
        </ext>
      </extLst>
    </bk>
    <bk>
      <extLst>
        <ext uri="{3e2802c4-a4d2-4d8b-9148-e3be6c30e623}">
          <xlrd:rvb i="253"/>
        </ext>
      </extLst>
    </bk>
    <bk>
      <extLst>
        <ext uri="{3e2802c4-a4d2-4d8b-9148-e3be6c30e623}">
          <xlrd:rvb i="254"/>
        </ext>
      </extLst>
    </bk>
    <bk>
      <extLst>
        <ext uri="{3e2802c4-a4d2-4d8b-9148-e3be6c30e623}">
          <xlrd:rvb i="255"/>
        </ext>
      </extLst>
    </bk>
    <bk>
      <extLst>
        <ext uri="{3e2802c4-a4d2-4d8b-9148-e3be6c30e623}">
          <xlrd:rvb i="256"/>
        </ext>
      </extLst>
    </bk>
    <bk>
      <extLst>
        <ext uri="{3e2802c4-a4d2-4d8b-9148-e3be6c30e623}">
          <xlrd:rvb i="257"/>
        </ext>
      </extLst>
    </bk>
    <bk>
      <extLst>
        <ext uri="{3e2802c4-a4d2-4d8b-9148-e3be6c30e623}">
          <xlrd:rvb i="258"/>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5"/>
        </ext>
      </extLst>
    </bk>
    <bk>
      <extLst>
        <ext uri="{3e2802c4-a4d2-4d8b-9148-e3be6c30e623}">
          <xlrd:rvb i="266"/>
        </ext>
      </extLst>
    </bk>
    <bk>
      <extLst>
        <ext uri="{3e2802c4-a4d2-4d8b-9148-e3be6c30e623}">
          <xlrd:rvb i="267"/>
        </ext>
      </extLst>
    </bk>
    <bk>
      <extLst>
        <ext uri="{3e2802c4-a4d2-4d8b-9148-e3be6c30e623}">
          <xlrd:rvb i="268"/>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2"/>
        </ext>
      </extLst>
    </bk>
    <bk>
      <extLst>
        <ext uri="{3e2802c4-a4d2-4d8b-9148-e3be6c30e623}">
          <xlrd:rvb i="273"/>
        </ext>
      </extLst>
    </bk>
    <bk>
      <extLst>
        <ext uri="{3e2802c4-a4d2-4d8b-9148-e3be6c30e623}">
          <xlrd:rvb i="274"/>
        </ext>
      </extLst>
    </bk>
    <bk>
      <extLst>
        <ext uri="{3e2802c4-a4d2-4d8b-9148-e3be6c30e623}">
          <xlrd:rvb i="275"/>
        </ext>
      </extLst>
    </bk>
    <bk>
      <extLst>
        <ext uri="{3e2802c4-a4d2-4d8b-9148-e3be6c30e623}">
          <xlrd:rvb i="276"/>
        </ext>
      </extLst>
    </bk>
    <bk>
      <extLst>
        <ext uri="{3e2802c4-a4d2-4d8b-9148-e3be6c30e623}">
          <xlrd:rvb i="277"/>
        </ext>
      </extLst>
    </bk>
    <bk>
      <extLst>
        <ext uri="{3e2802c4-a4d2-4d8b-9148-e3be6c30e623}">
          <xlrd:rvb i="278"/>
        </ext>
      </extLst>
    </bk>
    <bk>
      <extLst>
        <ext uri="{3e2802c4-a4d2-4d8b-9148-e3be6c30e623}">
          <xlrd:rvb i="279"/>
        </ext>
      </extLst>
    </bk>
    <bk>
      <extLst>
        <ext uri="{3e2802c4-a4d2-4d8b-9148-e3be6c30e623}">
          <xlrd:rvb i="280"/>
        </ext>
      </extLst>
    </bk>
    <bk>
      <extLst>
        <ext uri="{3e2802c4-a4d2-4d8b-9148-e3be6c30e623}">
          <xlrd:rvb i="281"/>
        </ext>
      </extLst>
    </bk>
    <bk>
      <extLst>
        <ext uri="{3e2802c4-a4d2-4d8b-9148-e3be6c30e623}">
          <xlrd:rvb i="282"/>
        </ext>
      </extLst>
    </bk>
    <bk>
      <extLst>
        <ext uri="{3e2802c4-a4d2-4d8b-9148-e3be6c30e623}">
          <xlrd:rvb i="283"/>
        </ext>
      </extLst>
    </bk>
    <bk>
      <extLst>
        <ext uri="{3e2802c4-a4d2-4d8b-9148-e3be6c30e623}">
          <xlrd:rvb i="284"/>
        </ext>
      </extLst>
    </bk>
    <bk>
      <extLst>
        <ext uri="{3e2802c4-a4d2-4d8b-9148-e3be6c30e623}">
          <xlrd:rvb i="285"/>
        </ext>
      </extLst>
    </bk>
    <bk>
      <extLst>
        <ext uri="{3e2802c4-a4d2-4d8b-9148-e3be6c30e623}">
          <xlrd:rvb i="286"/>
        </ext>
      </extLst>
    </bk>
    <bk>
      <extLst>
        <ext uri="{3e2802c4-a4d2-4d8b-9148-e3be6c30e623}">
          <xlrd:rvb i="287"/>
        </ext>
      </extLst>
    </bk>
    <bk>
      <extLst>
        <ext uri="{3e2802c4-a4d2-4d8b-9148-e3be6c30e623}">
          <xlrd:rvb i="288"/>
        </ext>
      </extLst>
    </bk>
    <bk>
      <extLst>
        <ext uri="{3e2802c4-a4d2-4d8b-9148-e3be6c30e623}">
          <xlrd:rvb i="289"/>
        </ext>
      </extLst>
    </bk>
    <bk>
      <extLst>
        <ext uri="{3e2802c4-a4d2-4d8b-9148-e3be6c30e623}">
          <xlrd:rvb i="290"/>
        </ext>
      </extLst>
    </bk>
    <bk>
      <extLst>
        <ext uri="{3e2802c4-a4d2-4d8b-9148-e3be6c30e623}">
          <xlrd:rvb i="291"/>
        </ext>
      </extLst>
    </bk>
    <bk>
      <extLst>
        <ext uri="{3e2802c4-a4d2-4d8b-9148-e3be6c30e623}">
          <xlrd:rvb i="292"/>
        </ext>
      </extLst>
    </bk>
    <bk>
      <extLst>
        <ext uri="{3e2802c4-a4d2-4d8b-9148-e3be6c30e623}">
          <xlrd:rvb i="293"/>
        </ext>
      </extLst>
    </bk>
    <bk>
      <extLst>
        <ext uri="{3e2802c4-a4d2-4d8b-9148-e3be6c30e623}">
          <xlrd:rvb i="294"/>
        </ext>
      </extLst>
    </bk>
    <bk>
      <extLst>
        <ext uri="{3e2802c4-a4d2-4d8b-9148-e3be6c30e623}">
          <xlrd:rvb i="295"/>
        </ext>
      </extLst>
    </bk>
    <bk>
      <extLst>
        <ext uri="{3e2802c4-a4d2-4d8b-9148-e3be6c30e623}">
          <xlrd:rvb i="296"/>
        </ext>
      </extLst>
    </bk>
    <bk>
      <extLst>
        <ext uri="{3e2802c4-a4d2-4d8b-9148-e3be6c30e623}">
          <xlrd:rvb i="297"/>
        </ext>
      </extLst>
    </bk>
    <bk>
      <extLst>
        <ext uri="{3e2802c4-a4d2-4d8b-9148-e3be6c30e623}">
          <xlrd:rvb i="298"/>
        </ext>
      </extLst>
    </bk>
    <bk>
      <extLst>
        <ext uri="{3e2802c4-a4d2-4d8b-9148-e3be6c30e623}">
          <xlrd:rvb i="299"/>
        </ext>
      </extLst>
    </bk>
    <bk>
      <extLst>
        <ext uri="{3e2802c4-a4d2-4d8b-9148-e3be6c30e623}">
          <xlrd:rvb i="300"/>
        </ext>
      </extLst>
    </bk>
    <bk>
      <extLst>
        <ext uri="{3e2802c4-a4d2-4d8b-9148-e3be6c30e623}">
          <xlrd:rvb i="301"/>
        </ext>
      </extLst>
    </bk>
    <bk>
      <extLst>
        <ext uri="{3e2802c4-a4d2-4d8b-9148-e3be6c30e623}">
          <xlrd:rvb i="302"/>
        </ext>
      </extLst>
    </bk>
    <bk>
      <extLst>
        <ext uri="{3e2802c4-a4d2-4d8b-9148-e3be6c30e623}">
          <xlrd:rvb i="303"/>
        </ext>
      </extLst>
    </bk>
    <bk>
      <extLst>
        <ext uri="{3e2802c4-a4d2-4d8b-9148-e3be6c30e623}">
          <xlrd:rvb i="304"/>
        </ext>
      </extLst>
    </bk>
    <bk>
      <extLst>
        <ext uri="{3e2802c4-a4d2-4d8b-9148-e3be6c30e623}">
          <xlrd:rvb i="305"/>
        </ext>
      </extLst>
    </bk>
    <bk>
      <extLst>
        <ext uri="{3e2802c4-a4d2-4d8b-9148-e3be6c30e623}">
          <xlrd:rvb i="306"/>
        </ext>
      </extLst>
    </bk>
    <bk>
      <extLst>
        <ext uri="{3e2802c4-a4d2-4d8b-9148-e3be6c30e623}">
          <xlrd:rvb i="307"/>
        </ext>
      </extLst>
    </bk>
    <bk>
      <extLst>
        <ext uri="{3e2802c4-a4d2-4d8b-9148-e3be6c30e623}">
          <xlrd:rvb i="308"/>
        </ext>
      </extLst>
    </bk>
    <bk>
      <extLst>
        <ext uri="{3e2802c4-a4d2-4d8b-9148-e3be6c30e623}">
          <xlrd:rvb i="309"/>
        </ext>
      </extLst>
    </bk>
    <bk>
      <extLst>
        <ext uri="{3e2802c4-a4d2-4d8b-9148-e3be6c30e623}">
          <xlrd:rvb i="310"/>
        </ext>
      </extLst>
    </bk>
    <bk>
      <extLst>
        <ext uri="{3e2802c4-a4d2-4d8b-9148-e3be6c30e623}">
          <xlrd:rvb i="311"/>
        </ext>
      </extLst>
    </bk>
    <bk>
      <extLst>
        <ext uri="{3e2802c4-a4d2-4d8b-9148-e3be6c30e623}">
          <xlrd:rvb i="312"/>
        </ext>
      </extLst>
    </bk>
    <bk>
      <extLst>
        <ext uri="{3e2802c4-a4d2-4d8b-9148-e3be6c30e623}">
          <xlrd:rvb i="313"/>
        </ext>
      </extLst>
    </bk>
    <bk>
      <extLst>
        <ext uri="{3e2802c4-a4d2-4d8b-9148-e3be6c30e623}">
          <xlrd:rvb i="314"/>
        </ext>
      </extLst>
    </bk>
    <bk>
      <extLst>
        <ext uri="{3e2802c4-a4d2-4d8b-9148-e3be6c30e623}">
          <xlrd:rvb i="315"/>
        </ext>
      </extLst>
    </bk>
    <bk>
      <extLst>
        <ext uri="{3e2802c4-a4d2-4d8b-9148-e3be6c30e623}">
          <xlrd:rvb i="316"/>
        </ext>
      </extLst>
    </bk>
    <bk>
      <extLst>
        <ext uri="{3e2802c4-a4d2-4d8b-9148-e3be6c30e623}">
          <xlrd:rvb i="317"/>
        </ext>
      </extLst>
    </bk>
    <bk>
      <extLst>
        <ext uri="{3e2802c4-a4d2-4d8b-9148-e3be6c30e623}">
          <xlrd:rvb i="318"/>
        </ext>
      </extLst>
    </bk>
    <bk>
      <extLst>
        <ext uri="{3e2802c4-a4d2-4d8b-9148-e3be6c30e623}">
          <xlrd:rvb i="319"/>
        </ext>
      </extLst>
    </bk>
    <bk>
      <extLst>
        <ext uri="{3e2802c4-a4d2-4d8b-9148-e3be6c30e623}">
          <xlrd:rvb i="320"/>
        </ext>
      </extLst>
    </bk>
    <bk>
      <extLst>
        <ext uri="{3e2802c4-a4d2-4d8b-9148-e3be6c30e623}">
          <xlrd:rvb i="321"/>
        </ext>
      </extLst>
    </bk>
    <bk>
      <extLst>
        <ext uri="{3e2802c4-a4d2-4d8b-9148-e3be6c30e623}">
          <xlrd:rvb i="322"/>
        </ext>
      </extLst>
    </bk>
    <bk>
      <extLst>
        <ext uri="{3e2802c4-a4d2-4d8b-9148-e3be6c30e623}">
          <xlrd:rvb i="323"/>
        </ext>
      </extLst>
    </bk>
    <bk>
      <extLst>
        <ext uri="{3e2802c4-a4d2-4d8b-9148-e3be6c30e623}">
          <xlrd:rvb i="324"/>
        </ext>
      </extLst>
    </bk>
    <bk>
      <extLst>
        <ext uri="{3e2802c4-a4d2-4d8b-9148-e3be6c30e623}">
          <xlrd:rvb i="325"/>
        </ext>
      </extLst>
    </bk>
    <bk>
      <extLst>
        <ext uri="{3e2802c4-a4d2-4d8b-9148-e3be6c30e623}">
          <xlrd:rvb i="326"/>
        </ext>
      </extLst>
    </bk>
    <bk>
      <extLst>
        <ext uri="{3e2802c4-a4d2-4d8b-9148-e3be6c30e623}">
          <xlrd:rvb i="327"/>
        </ext>
      </extLst>
    </bk>
    <bk>
      <extLst>
        <ext uri="{3e2802c4-a4d2-4d8b-9148-e3be6c30e623}">
          <xlrd:rvb i="328"/>
        </ext>
      </extLst>
    </bk>
    <bk>
      <extLst>
        <ext uri="{3e2802c4-a4d2-4d8b-9148-e3be6c30e623}">
          <xlrd:rvb i="329"/>
        </ext>
      </extLst>
    </bk>
    <bk>
      <extLst>
        <ext uri="{3e2802c4-a4d2-4d8b-9148-e3be6c30e623}">
          <xlrd:rvb i="330"/>
        </ext>
      </extLst>
    </bk>
    <bk>
      <extLst>
        <ext uri="{3e2802c4-a4d2-4d8b-9148-e3be6c30e623}">
          <xlrd:rvb i="331"/>
        </ext>
      </extLst>
    </bk>
    <bk>
      <extLst>
        <ext uri="{3e2802c4-a4d2-4d8b-9148-e3be6c30e623}">
          <xlrd:rvb i="332"/>
        </ext>
      </extLst>
    </bk>
    <bk>
      <extLst>
        <ext uri="{3e2802c4-a4d2-4d8b-9148-e3be6c30e623}">
          <xlrd:rvb i="333"/>
        </ext>
      </extLst>
    </bk>
    <bk>
      <extLst>
        <ext uri="{3e2802c4-a4d2-4d8b-9148-e3be6c30e623}">
          <xlrd:rvb i="334"/>
        </ext>
      </extLst>
    </bk>
    <bk>
      <extLst>
        <ext uri="{3e2802c4-a4d2-4d8b-9148-e3be6c30e623}">
          <xlrd:rvb i="335"/>
        </ext>
      </extLst>
    </bk>
    <bk>
      <extLst>
        <ext uri="{3e2802c4-a4d2-4d8b-9148-e3be6c30e623}">
          <xlrd:rvb i="336"/>
        </ext>
      </extLst>
    </bk>
    <bk>
      <extLst>
        <ext uri="{3e2802c4-a4d2-4d8b-9148-e3be6c30e623}">
          <xlrd:rvb i="337"/>
        </ext>
      </extLst>
    </bk>
    <bk>
      <extLst>
        <ext uri="{3e2802c4-a4d2-4d8b-9148-e3be6c30e623}">
          <xlrd:rvb i="338"/>
        </ext>
      </extLst>
    </bk>
    <bk>
      <extLst>
        <ext uri="{3e2802c4-a4d2-4d8b-9148-e3be6c30e623}">
          <xlrd:rvb i="339"/>
        </ext>
      </extLst>
    </bk>
    <bk>
      <extLst>
        <ext uri="{3e2802c4-a4d2-4d8b-9148-e3be6c30e623}">
          <xlrd:rvb i="340"/>
        </ext>
      </extLst>
    </bk>
    <bk>
      <extLst>
        <ext uri="{3e2802c4-a4d2-4d8b-9148-e3be6c30e623}">
          <xlrd:rvb i="341"/>
        </ext>
      </extLst>
    </bk>
    <bk>
      <extLst>
        <ext uri="{3e2802c4-a4d2-4d8b-9148-e3be6c30e623}">
          <xlrd:rvb i="342"/>
        </ext>
      </extLst>
    </bk>
    <bk>
      <extLst>
        <ext uri="{3e2802c4-a4d2-4d8b-9148-e3be6c30e623}">
          <xlrd:rvb i="343"/>
        </ext>
      </extLst>
    </bk>
    <bk>
      <extLst>
        <ext uri="{3e2802c4-a4d2-4d8b-9148-e3be6c30e623}">
          <xlrd:rvb i="344"/>
        </ext>
      </extLst>
    </bk>
    <bk>
      <extLst>
        <ext uri="{3e2802c4-a4d2-4d8b-9148-e3be6c30e623}">
          <xlrd:rvb i="345"/>
        </ext>
      </extLst>
    </bk>
    <bk>
      <extLst>
        <ext uri="{3e2802c4-a4d2-4d8b-9148-e3be6c30e623}">
          <xlrd:rvb i="346"/>
        </ext>
      </extLst>
    </bk>
    <bk>
      <extLst>
        <ext uri="{3e2802c4-a4d2-4d8b-9148-e3be6c30e623}">
          <xlrd:rvb i="347"/>
        </ext>
      </extLst>
    </bk>
    <bk>
      <extLst>
        <ext uri="{3e2802c4-a4d2-4d8b-9148-e3be6c30e623}">
          <xlrd:rvb i="348"/>
        </ext>
      </extLst>
    </bk>
    <bk>
      <extLst>
        <ext uri="{3e2802c4-a4d2-4d8b-9148-e3be6c30e623}">
          <xlrd:rvb i="349"/>
        </ext>
      </extLst>
    </bk>
    <bk>
      <extLst>
        <ext uri="{3e2802c4-a4d2-4d8b-9148-e3be6c30e623}">
          <xlrd:rvb i="350"/>
        </ext>
      </extLst>
    </bk>
    <bk>
      <extLst>
        <ext uri="{3e2802c4-a4d2-4d8b-9148-e3be6c30e623}">
          <xlrd:rvb i="351"/>
        </ext>
      </extLst>
    </bk>
    <bk>
      <extLst>
        <ext uri="{3e2802c4-a4d2-4d8b-9148-e3be6c30e623}">
          <xlrd:rvb i="352"/>
        </ext>
      </extLst>
    </bk>
    <bk>
      <extLst>
        <ext uri="{3e2802c4-a4d2-4d8b-9148-e3be6c30e623}">
          <xlrd:rvb i="353"/>
        </ext>
      </extLst>
    </bk>
    <bk>
      <extLst>
        <ext uri="{3e2802c4-a4d2-4d8b-9148-e3be6c30e623}">
          <xlrd:rvb i="354"/>
        </ext>
      </extLst>
    </bk>
    <bk>
      <extLst>
        <ext uri="{3e2802c4-a4d2-4d8b-9148-e3be6c30e623}">
          <xlrd:rvb i="355"/>
        </ext>
      </extLst>
    </bk>
    <bk>
      <extLst>
        <ext uri="{3e2802c4-a4d2-4d8b-9148-e3be6c30e623}">
          <xlrd:rvb i="356"/>
        </ext>
      </extLst>
    </bk>
    <bk>
      <extLst>
        <ext uri="{3e2802c4-a4d2-4d8b-9148-e3be6c30e623}">
          <xlrd:rvb i="357"/>
        </ext>
      </extLst>
    </bk>
    <bk>
      <extLst>
        <ext uri="{3e2802c4-a4d2-4d8b-9148-e3be6c30e623}">
          <xlrd:rvb i="358"/>
        </ext>
      </extLst>
    </bk>
    <bk>
      <extLst>
        <ext uri="{3e2802c4-a4d2-4d8b-9148-e3be6c30e623}">
          <xlrd:rvb i="359"/>
        </ext>
      </extLst>
    </bk>
    <bk>
      <extLst>
        <ext uri="{3e2802c4-a4d2-4d8b-9148-e3be6c30e623}">
          <xlrd:rvb i="360"/>
        </ext>
      </extLst>
    </bk>
    <bk>
      <extLst>
        <ext uri="{3e2802c4-a4d2-4d8b-9148-e3be6c30e623}">
          <xlrd:rvb i="361"/>
        </ext>
      </extLst>
    </bk>
    <bk>
      <extLst>
        <ext uri="{3e2802c4-a4d2-4d8b-9148-e3be6c30e623}">
          <xlrd:rvb i="362"/>
        </ext>
      </extLst>
    </bk>
    <bk>
      <extLst>
        <ext uri="{3e2802c4-a4d2-4d8b-9148-e3be6c30e623}">
          <xlrd:rvb i="363"/>
        </ext>
      </extLst>
    </bk>
    <bk>
      <extLst>
        <ext uri="{3e2802c4-a4d2-4d8b-9148-e3be6c30e623}">
          <xlrd:rvb i="364"/>
        </ext>
      </extLst>
    </bk>
    <bk>
      <extLst>
        <ext uri="{3e2802c4-a4d2-4d8b-9148-e3be6c30e623}">
          <xlrd:rvb i="365"/>
        </ext>
      </extLst>
    </bk>
    <bk>
      <extLst>
        <ext uri="{3e2802c4-a4d2-4d8b-9148-e3be6c30e623}">
          <xlrd:rvb i="366"/>
        </ext>
      </extLst>
    </bk>
    <bk>
      <extLst>
        <ext uri="{3e2802c4-a4d2-4d8b-9148-e3be6c30e623}">
          <xlrd:rvb i="367"/>
        </ext>
      </extLst>
    </bk>
    <bk>
      <extLst>
        <ext uri="{3e2802c4-a4d2-4d8b-9148-e3be6c30e623}">
          <xlrd:rvb i="368"/>
        </ext>
      </extLst>
    </bk>
    <bk>
      <extLst>
        <ext uri="{3e2802c4-a4d2-4d8b-9148-e3be6c30e623}">
          <xlrd:rvb i="369"/>
        </ext>
      </extLst>
    </bk>
    <bk>
      <extLst>
        <ext uri="{3e2802c4-a4d2-4d8b-9148-e3be6c30e623}">
          <xlrd:rvb i="370"/>
        </ext>
      </extLst>
    </bk>
    <bk>
      <extLst>
        <ext uri="{3e2802c4-a4d2-4d8b-9148-e3be6c30e623}">
          <xlrd:rvb i="371"/>
        </ext>
      </extLst>
    </bk>
    <bk>
      <extLst>
        <ext uri="{3e2802c4-a4d2-4d8b-9148-e3be6c30e623}">
          <xlrd:rvb i="372"/>
        </ext>
      </extLst>
    </bk>
    <bk>
      <extLst>
        <ext uri="{3e2802c4-a4d2-4d8b-9148-e3be6c30e623}">
          <xlrd:rvb i="373"/>
        </ext>
      </extLst>
    </bk>
    <bk>
      <extLst>
        <ext uri="{3e2802c4-a4d2-4d8b-9148-e3be6c30e623}">
          <xlrd:rvb i="374"/>
        </ext>
      </extLst>
    </bk>
    <bk>
      <extLst>
        <ext uri="{3e2802c4-a4d2-4d8b-9148-e3be6c30e623}">
          <xlrd:rvb i="375"/>
        </ext>
      </extLst>
    </bk>
    <bk>
      <extLst>
        <ext uri="{3e2802c4-a4d2-4d8b-9148-e3be6c30e623}">
          <xlrd:rvb i="376"/>
        </ext>
      </extLst>
    </bk>
    <bk>
      <extLst>
        <ext uri="{3e2802c4-a4d2-4d8b-9148-e3be6c30e623}">
          <xlrd:rvb i="377"/>
        </ext>
      </extLst>
    </bk>
    <bk>
      <extLst>
        <ext uri="{3e2802c4-a4d2-4d8b-9148-e3be6c30e623}">
          <xlrd:rvb i="378"/>
        </ext>
      </extLst>
    </bk>
    <bk>
      <extLst>
        <ext uri="{3e2802c4-a4d2-4d8b-9148-e3be6c30e623}">
          <xlrd:rvb i="379"/>
        </ext>
      </extLst>
    </bk>
    <bk>
      <extLst>
        <ext uri="{3e2802c4-a4d2-4d8b-9148-e3be6c30e623}">
          <xlrd:rvb i="380"/>
        </ext>
      </extLst>
    </bk>
    <bk>
      <extLst>
        <ext uri="{3e2802c4-a4d2-4d8b-9148-e3be6c30e623}">
          <xlrd:rvb i="381"/>
        </ext>
      </extLst>
    </bk>
    <bk>
      <extLst>
        <ext uri="{3e2802c4-a4d2-4d8b-9148-e3be6c30e623}">
          <xlrd:rvb i="382"/>
        </ext>
      </extLst>
    </bk>
    <bk>
      <extLst>
        <ext uri="{3e2802c4-a4d2-4d8b-9148-e3be6c30e623}">
          <xlrd:rvb i="383"/>
        </ext>
      </extLst>
    </bk>
    <bk>
      <extLst>
        <ext uri="{3e2802c4-a4d2-4d8b-9148-e3be6c30e623}">
          <xlrd:rvb i="384"/>
        </ext>
      </extLst>
    </bk>
    <bk>
      <extLst>
        <ext uri="{3e2802c4-a4d2-4d8b-9148-e3be6c30e623}">
          <xlrd:rvb i="385"/>
        </ext>
      </extLst>
    </bk>
    <bk>
      <extLst>
        <ext uri="{3e2802c4-a4d2-4d8b-9148-e3be6c30e623}">
          <xlrd:rvb i="386"/>
        </ext>
      </extLst>
    </bk>
    <bk>
      <extLst>
        <ext uri="{3e2802c4-a4d2-4d8b-9148-e3be6c30e623}">
          <xlrd:rvb i="387"/>
        </ext>
      </extLst>
    </bk>
    <bk>
      <extLst>
        <ext uri="{3e2802c4-a4d2-4d8b-9148-e3be6c30e623}">
          <xlrd:rvb i="388"/>
        </ext>
      </extLst>
    </bk>
    <bk>
      <extLst>
        <ext uri="{3e2802c4-a4d2-4d8b-9148-e3be6c30e623}">
          <xlrd:rvb i="389"/>
        </ext>
      </extLst>
    </bk>
    <bk>
      <extLst>
        <ext uri="{3e2802c4-a4d2-4d8b-9148-e3be6c30e623}">
          <xlrd:rvb i="390"/>
        </ext>
      </extLst>
    </bk>
    <bk>
      <extLst>
        <ext uri="{3e2802c4-a4d2-4d8b-9148-e3be6c30e623}">
          <xlrd:rvb i="391"/>
        </ext>
      </extLst>
    </bk>
    <bk>
      <extLst>
        <ext uri="{3e2802c4-a4d2-4d8b-9148-e3be6c30e623}">
          <xlrd:rvb i="392"/>
        </ext>
      </extLst>
    </bk>
    <bk>
      <extLst>
        <ext uri="{3e2802c4-a4d2-4d8b-9148-e3be6c30e623}">
          <xlrd:rvb i="393"/>
        </ext>
      </extLst>
    </bk>
    <bk>
      <extLst>
        <ext uri="{3e2802c4-a4d2-4d8b-9148-e3be6c30e623}">
          <xlrd:rvb i="394"/>
        </ext>
      </extLst>
    </bk>
    <bk>
      <extLst>
        <ext uri="{3e2802c4-a4d2-4d8b-9148-e3be6c30e623}">
          <xlrd:rvb i="395"/>
        </ext>
      </extLst>
    </bk>
    <bk>
      <extLst>
        <ext uri="{3e2802c4-a4d2-4d8b-9148-e3be6c30e623}">
          <xlrd:rvb i="396"/>
        </ext>
      </extLst>
    </bk>
    <bk>
      <extLst>
        <ext uri="{3e2802c4-a4d2-4d8b-9148-e3be6c30e623}">
          <xlrd:rvb i="397"/>
        </ext>
      </extLst>
    </bk>
    <bk>
      <extLst>
        <ext uri="{3e2802c4-a4d2-4d8b-9148-e3be6c30e623}">
          <xlrd:rvb i="398"/>
        </ext>
      </extLst>
    </bk>
    <bk>
      <extLst>
        <ext uri="{3e2802c4-a4d2-4d8b-9148-e3be6c30e623}">
          <xlrd:rvb i="399"/>
        </ext>
      </extLst>
    </bk>
    <bk>
      <extLst>
        <ext uri="{3e2802c4-a4d2-4d8b-9148-e3be6c30e623}">
          <xlrd:rvb i="400"/>
        </ext>
      </extLst>
    </bk>
    <bk>
      <extLst>
        <ext uri="{3e2802c4-a4d2-4d8b-9148-e3be6c30e623}">
          <xlrd:rvb i="401"/>
        </ext>
      </extLst>
    </bk>
    <bk>
      <extLst>
        <ext uri="{3e2802c4-a4d2-4d8b-9148-e3be6c30e623}">
          <xlrd:rvb i="402"/>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bk>
      <extLst>
        <ext uri="{3e2802c4-a4d2-4d8b-9148-e3be6c30e623}">
          <xlrd:rvb i="409"/>
        </ext>
      </extLst>
    </bk>
    <bk>
      <extLst>
        <ext uri="{3e2802c4-a4d2-4d8b-9148-e3be6c30e623}">
          <xlrd:rvb i="410"/>
        </ext>
      </extLst>
    </bk>
    <bk>
      <extLst>
        <ext uri="{3e2802c4-a4d2-4d8b-9148-e3be6c30e623}">
          <xlrd:rvb i="411"/>
        </ext>
      </extLst>
    </bk>
    <bk>
      <extLst>
        <ext uri="{3e2802c4-a4d2-4d8b-9148-e3be6c30e623}">
          <xlrd:rvb i="412"/>
        </ext>
      </extLst>
    </bk>
    <bk>
      <extLst>
        <ext uri="{3e2802c4-a4d2-4d8b-9148-e3be6c30e623}">
          <xlrd:rvb i="413"/>
        </ext>
      </extLst>
    </bk>
    <bk>
      <extLst>
        <ext uri="{3e2802c4-a4d2-4d8b-9148-e3be6c30e623}">
          <xlrd:rvb i="414"/>
        </ext>
      </extLst>
    </bk>
    <bk>
      <extLst>
        <ext uri="{3e2802c4-a4d2-4d8b-9148-e3be6c30e623}">
          <xlrd:rvb i="415"/>
        </ext>
      </extLst>
    </bk>
    <bk>
      <extLst>
        <ext uri="{3e2802c4-a4d2-4d8b-9148-e3be6c30e623}">
          <xlrd:rvb i="416"/>
        </ext>
      </extLst>
    </bk>
    <bk>
      <extLst>
        <ext uri="{3e2802c4-a4d2-4d8b-9148-e3be6c30e623}">
          <xlrd:rvb i="417"/>
        </ext>
      </extLst>
    </bk>
    <bk>
      <extLst>
        <ext uri="{3e2802c4-a4d2-4d8b-9148-e3be6c30e623}">
          <xlrd:rvb i="418"/>
        </ext>
      </extLst>
    </bk>
    <bk>
      <extLst>
        <ext uri="{3e2802c4-a4d2-4d8b-9148-e3be6c30e623}">
          <xlrd:rvb i="419"/>
        </ext>
      </extLst>
    </bk>
    <bk>
      <extLst>
        <ext uri="{3e2802c4-a4d2-4d8b-9148-e3be6c30e623}">
          <xlrd:rvb i="420"/>
        </ext>
      </extLst>
    </bk>
    <bk>
      <extLst>
        <ext uri="{3e2802c4-a4d2-4d8b-9148-e3be6c30e623}">
          <xlrd:rvb i="421"/>
        </ext>
      </extLst>
    </bk>
    <bk>
      <extLst>
        <ext uri="{3e2802c4-a4d2-4d8b-9148-e3be6c30e623}">
          <xlrd:rvb i="422"/>
        </ext>
      </extLst>
    </bk>
    <bk>
      <extLst>
        <ext uri="{3e2802c4-a4d2-4d8b-9148-e3be6c30e623}">
          <xlrd:rvb i="423"/>
        </ext>
      </extLst>
    </bk>
    <bk>
      <extLst>
        <ext uri="{3e2802c4-a4d2-4d8b-9148-e3be6c30e623}">
          <xlrd:rvb i="424"/>
        </ext>
      </extLst>
    </bk>
    <bk>
      <extLst>
        <ext uri="{3e2802c4-a4d2-4d8b-9148-e3be6c30e623}">
          <xlrd:rvb i="425"/>
        </ext>
      </extLst>
    </bk>
    <bk>
      <extLst>
        <ext uri="{3e2802c4-a4d2-4d8b-9148-e3be6c30e623}">
          <xlrd:rvb i="426"/>
        </ext>
      </extLst>
    </bk>
    <bk>
      <extLst>
        <ext uri="{3e2802c4-a4d2-4d8b-9148-e3be6c30e623}">
          <xlrd:rvb i="427"/>
        </ext>
      </extLst>
    </bk>
    <bk>
      <extLst>
        <ext uri="{3e2802c4-a4d2-4d8b-9148-e3be6c30e623}">
          <xlrd:rvb i="428"/>
        </ext>
      </extLst>
    </bk>
    <bk>
      <extLst>
        <ext uri="{3e2802c4-a4d2-4d8b-9148-e3be6c30e623}">
          <xlrd:rvb i="429"/>
        </ext>
      </extLst>
    </bk>
    <bk>
      <extLst>
        <ext uri="{3e2802c4-a4d2-4d8b-9148-e3be6c30e623}">
          <xlrd:rvb i="430"/>
        </ext>
      </extLst>
    </bk>
    <bk>
      <extLst>
        <ext uri="{3e2802c4-a4d2-4d8b-9148-e3be6c30e623}">
          <xlrd:rvb i="431"/>
        </ext>
      </extLst>
    </bk>
    <bk>
      <extLst>
        <ext uri="{3e2802c4-a4d2-4d8b-9148-e3be6c30e623}">
          <xlrd:rvb i="432"/>
        </ext>
      </extLst>
    </bk>
    <bk>
      <extLst>
        <ext uri="{3e2802c4-a4d2-4d8b-9148-e3be6c30e623}">
          <xlrd:rvb i="433"/>
        </ext>
      </extLst>
    </bk>
    <bk>
      <extLst>
        <ext uri="{3e2802c4-a4d2-4d8b-9148-e3be6c30e623}">
          <xlrd:rvb i="434"/>
        </ext>
      </extLst>
    </bk>
    <bk>
      <extLst>
        <ext uri="{3e2802c4-a4d2-4d8b-9148-e3be6c30e623}">
          <xlrd:rvb i="435"/>
        </ext>
      </extLst>
    </bk>
    <bk>
      <extLst>
        <ext uri="{3e2802c4-a4d2-4d8b-9148-e3be6c30e623}">
          <xlrd:rvb i="436"/>
        </ext>
      </extLst>
    </bk>
    <bk>
      <extLst>
        <ext uri="{3e2802c4-a4d2-4d8b-9148-e3be6c30e623}">
          <xlrd:rvb i="437"/>
        </ext>
      </extLst>
    </bk>
    <bk>
      <extLst>
        <ext uri="{3e2802c4-a4d2-4d8b-9148-e3be6c30e623}">
          <xlrd:rvb i="438"/>
        </ext>
      </extLst>
    </bk>
    <bk>
      <extLst>
        <ext uri="{3e2802c4-a4d2-4d8b-9148-e3be6c30e623}">
          <xlrd:rvb i="439"/>
        </ext>
      </extLst>
    </bk>
    <bk>
      <extLst>
        <ext uri="{3e2802c4-a4d2-4d8b-9148-e3be6c30e623}">
          <xlrd:rvb i="440"/>
        </ext>
      </extLst>
    </bk>
    <bk>
      <extLst>
        <ext uri="{3e2802c4-a4d2-4d8b-9148-e3be6c30e623}">
          <xlrd:rvb i="441"/>
        </ext>
      </extLst>
    </bk>
    <bk>
      <extLst>
        <ext uri="{3e2802c4-a4d2-4d8b-9148-e3be6c30e623}">
          <xlrd:rvb i="442"/>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46"/>
        </ext>
      </extLst>
    </bk>
    <bk>
      <extLst>
        <ext uri="{3e2802c4-a4d2-4d8b-9148-e3be6c30e623}">
          <xlrd:rvb i="447"/>
        </ext>
      </extLst>
    </bk>
    <bk>
      <extLst>
        <ext uri="{3e2802c4-a4d2-4d8b-9148-e3be6c30e623}">
          <xlrd:rvb i="448"/>
        </ext>
      </extLst>
    </bk>
    <bk>
      <extLst>
        <ext uri="{3e2802c4-a4d2-4d8b-9148-e3be6c30e623}">
          <xlrd:rvb i="449"/>
        </ext>
      </extLst>
    </bk>
    <bk>
      <extLst>
        <ext uri="{3e2802c4-a4d2-4d8b-9148-e3be6c30e623}">
          <xlrd:rvb i="450"/>
        </ext>
      </extLst>
    </bk>
    <bk>
      <extLst>
        <ext uri="{3e2802c4-a4d2-4d8b-9148-e3be6c30e623}">
          <xlrd:rvb i="451"/>
        </ext>
      </extLst>
    </bk>
    <bk>
      <extLst>
        <ext uri="{3e2802c4-a4d2-4d8b-9148-e3be6c30e623}">
          <xlrd:rvb i="452"/>
        </ext>
      </extLst>
    </bk>
    <bk>
      <extLst>
        <ext uri="{3e2802c4-a4d2-4d8b-9148-e3be6c30e623}">
          <xlrd:rvb i="453"/>
        </ext>
      </extLst>
    </bk>
    <bk>
      <extLst>
        <ext uri="{3e2802c4-a4d2-4d8b-9148-e3be6c30e623}">
          <xlrd:rvb i="454"/>
        </ext>
      </extLst>
    </bk>
    <bk>
      <extLst>
        <ext uri="{3e2802c4-a4d2-4d8b-9148-e3be6c30e623}">
          <xlrd:rvb i="455"/>
        </ext>
      </extLst>
    </bk>
    <bk>
      <extLst>
        <ext uri="{3e2802c4-a4d2-4d8b-9148-e3be6c30e623}">
          <xlrd:rvb i="456"/>
        </ext>
      </extLst>
    </bk>
    <bk>
      <extLst>
        <ext uri="{3e2802c4-a4d2-4d8b-9148-e3be6c30e623}">
          <xlrd:rvb i="457"/>
        </ext>
      </extLst>
    </bk>
    <bk>
      <extLst>
        <ext uri="{3e2802c4-a4d2-4d8b-9148-e3be6c30e623}">
          <xlrd:rvb i="458"/>
        </ext>
      </extLst>
    </bk>
    <bk>
      <extLst>
        <ext uri="{3e2802c4-a4d2-4d8b-9148-e3be6c30e623}">
          <xlrd:rvb i="459"/>
        </ext>
      </extLst>
    </bk>
    <bk>
      <extLst>
        <ext uri="{3e2802c4-a4d2-4d8b-9148-e3be6c30e623}">
          <xlrd:rvb i="460"/>
        </ext>
      </extLst>
    </bk>
    <bk>
      <extLst>
        <ext uri="{3e2802c4-a4d2-4d8b-9148-e3be6c30e623}">
          <xlrd:rvb i="461"/>
        </ext>
      </extLst>
    </bk>
    <bk>
      <extLst>
        <ext uri="{3e2802c4-a4d2-4d8b-9148-e3be6c30e623}">
          <xlrd:rvb i="462"/>
        </ext>
      </extLst>
    </bk>
    <bk>
      <extLst>
        <ext uri="{3e2802c4-a4d2-4d8b-9148-e3be6c30e623}">
          <xlrd:rvb i="463"/>
        </ext>
      </extLst>
    </bk>
    <bk>
      <extLst>
        <ext uri="{3e2802c4-a4d2-4d8b-9148-e3be6c30e623}">
          <xlrd:rvb i="464"/>
        </ext>
      </extLst>
    </bk>
    <bk>
      <extLst>
        <ext uri="{3e2802c4-a4d2-4d8b-9148-e3be6c30e623}">
          <xlrd:rvb i="465"/>
        </ext>
      </extLst>
    </bk>
    <bk>
      <extLst>
        <ext uri="{3e2802c4-a4d2-4d8b-9148-e3be6c30e623}">
          <xlrd:rvb i="466"/>
        </ext>
      </extLst>
    </bk>
    <bk>
      <extLst>
        <ext uri="{3e2802c4-a4d2-4d8b-9148-e3be6c30e623}">
          <xlrd:rvb i="467"/>
        </ext>
      </extLst>
    </bk>
    <bk>
      <extLst>
        <ext uri="{3e2802c4-a4d2-4d8b-9148-e3be6c30e623}">
          <xlrd:rvb i="468"/>
        </ext>
      </extLst>
    </bk>
    <bk>
      <extLst>
        <ext uri="{3e2802c4-a4d2-4d8b-9148-e3be6c30e623}">
          <xlrd:rvb i="469"/>
        </ext>
      </extLst>
    </bk>
    <bk>
      <extLst>
        <ext uri="{3e2802c4-a4d2-4d8b-9148-e3be6c30e623}">
          <xlrd:rvb i="470"/>
        </ext>
      </extLst>
    </bk>
    <bk>
      <extLst>
        <ext uri="{3e2802c4-a4d2-4d8b-9148-e3be6c30e623}">
          <xlrd:rvb i="471"/>
        </ext>
      </extLst>
    </bk>
    <bk>
      <extLst>
        <ext uri="{3e2802c4-a4d2-4d8b-9148-e3be6c30e623}">
          <xlrd:rvb i="472"/>
        </ext>
      </extLst>
    </bk>
    <bk>
      <extLst>
        <ext uri="{3e2802c4-a4d2-4d8b-9148-e3be6c30e623}">
          <xlrd:rvb i="473"/>
        </ext>
      </extLst>
    </bk>
    <bk>
      <extLst>
        <ext uri="{3e2802c4-a4d2-4d8b-9148-e3be6c30e623}">
          <xlrd:rvb i="474"/>
        </ext>
      </extLst>
    </bk>
    <bk>
      <extLst>
        <ext uri="{3e2802c4-a4d2-4d8b-9148-e3be6c30e623}">
          <xlrd:rvb i="475"/>
        </ext>
      </extLst>
    </bk>
    <bk>
      <extLst>
        <ext uri="{3e2802c4-a4d2-4d8b-9148-e3be6c30e623}">
          <xlrd:rvb i="476"/>
        </ext>
      </extLst>
    </bk>
    <bk>
      <extLst>
        <ext uri="{3e2802c4-a4d2-4d8b-9148-e3be6c30e623}">
          <xlrd:rvb i="477"/>
        </ext>
      </extLst>
    </bk>
    <bk>
      <extLst>
        <ext uri="{3e2802c4-a4d2-4d8b-9148-e3be6c30e623}">
          <xlrd:rvb i="478"/>
        </ext>
      </extLst>
    </bk>
    <bk>
      <extLst>
        <ext uri="{3e2802c4-a4d2-4d8b-9148-e3be6c30e623}">
          <xlrd:rvb i="479"/>
        </ext>
      </extLst>
    </bk>
    <bk>
      <extLst>
        <ext uri="{3e2802c4-a4d2-4d8b-9148-e3be6c30e623}">
          <xlrd:rvb i="480"/>
        </ext>
      </extLst>
    </bk>
    <bk>
      <extLst>
        <ext uri="{3e2802c4-a4d2-4d8b-9148-e3be6c30e623}">
          <xlrd:rvb i="481"/>
        </ext>
      </extLst>
    </bk>
    <bk>
      <extLst>
        <ext uri="{3e2802c4-a4d2-4d8b-9148-e3be6c30e623}">
          <xlrd:rvb i="482"/>
        </ext>
      </extLst>
    </bk>
    <bk>
      <extLst>
        <ext uri="{3e2802c4-a4d2-4d8b-9148-e3be6c30e623}">
          <xlrd:rvb i="483"/>
        </ext>
      </extLst>
    </bk>
    <bk>
      <extLst>
        <ext uri="{3e2802c4-a4d2-4d8b-9148-e3be6c30e623}">
          <xlrd:rvb i="484"/>
        </ext>
      </extLst>
    </bk>
    <bk>
      <extLst>
        <ext uri="{3e2802c4-a4d2-4d8b-9148-e3be6c30e623}">
          <xlrd:rvb i="485"/>
        </ext>
      </extLst>
    </bk>
    <bk>
      <extLst>
        <ext uri="{3e2802c4-a4d2-4d8b-9148-e3be6c30e623}">
          <xlrd:rvb i="486"/>
        </ext>
      </extLst>
    </bk>
    <bk>
      <extLst>
        <ext uri="{3e2802c4-a4d2-4d8b-9148-e3be6c30e623}">
          <xlrd:rvb i="487"/>
        </ext>
      </extLst>
    </bk>
    <bk>
      <extLst>
        <ext uri="{3e2802c4-a4d2-4d8b-9148-e3be6c30e623}">
          <xlrd:rvb i="488"/>
        </ext>
      </extLst>
    </bk>
    <bk>
      <extLst>
        <ext uri="{3e2802c4-a4d2-4d8b-9148-e3be6c30e623}">
          <xlrd:rvb i="489"/>
        </ext>
      </extLst>
    </bk>
    <bk>
      <extLst>
        <ext uri="{3e2802c4-a4d2-4d8b-9148-e3be6c30e623}">
          <xlrd:rvb i="490"/>
        </ext>
      </extLst>
    </bk>
    <bk>
      <extLst>
        <ext uri="{3e2802c4-a4d2-4d8b-9148-e3be6c30e623}">
          <xlrd:rvb i="491"/>
        </ext>
      </extLst>
    </bk>
    <bk>
      <extLst>
        <ext uri="{3e2802c4-a4d2-4d8b-9148-e3be6c30e623}">
          <xlrd:rvb i="492"/>
        </ext>
      </extLst>
    </bk>
    <bk>
      <extLst>
        <ext uri="{3e2802c4-a4d2-4d8b-9148-e3be6c30e623}">
          <xlrd:rvb i="493"/>
        </ext>
      </extLst>
    </bk>
    <bk>
      <extLst>
        <ext uri="{3e2802c4-a4d2-4d8b-9148-e3be6c30e623}">
          <xlrd:rvb i="494"/>
        </ext>
      </extLst>
    </bk>
    <bk>
      <extLst>
        <ext uri="{3e2802c4-a4d2-4d8b-9148-e3be6c30e623}">
          <xlrd:rvb i="495"/>
        </ext>
      </extLst>
    </bk>
    <bk>
      <extLst>
        <ext uri="{3e2802c4-a4d2-4d8b-9148-e3be6c30e623}">
          <xlrd:rvb i="496"/>
        </ext>
      </extLst>
    </bk>
    <bk>
      <extLst>
        <ext uri="{3e2802c4-a4d2-4d8b-9148-e3be6c30e623}">
          <xlrd:rvb i="497"/>
        </ext>
      </extLst>
    </bk>
    <bk>
      <extLst>
        <ext uri="{3e2802c4-a4d2-4d8b-9148-e3be6c30e623}">
          <xlrd:rvb i="498"/>
        </ext>
      </extLst>
    </bk>
    <bk>
      <extLst>
        <ext uri="{3e2802c4-a4d2-4d8b-9148-e3be6c30e623}">
          <xlrd:rvb i="499"/>
        </ext>
      </extLst>
    </bk>
    <bk>
      <extLst>
        <ext uri="{3e2802c4-a4d2-4d8b-9148-e3be6c30e623}">
          <xlrd:rvb i="500"/>
        </ext>
      </extLst>
    </bk>
    <bk>
      <extLst>
        <ext uri="{3e2802c4-a4d2-4d8b-9148-e3be6c30e623}">
          <xlrd:rvb i="501"/>
        </ext>
      </extLst>
    </bk>
    <bk>
      <extLst>
        <ext uri="{3e2802c4-a4d2-4d8b-9148-e3be6c30e623}">
          <xlrd:rvb i="502"/>
        </ext>
      </extLst>
    </bk>
    <bk>
      <extLst>
        <ext uri="{3e2802c4-a4d2-4d8b-9148-e3be6c30e623}">
          <xlrd:rvb i="503"/>
        </ext>
      </extLst>
    </bk>
    <bk>
      <extLst>
        <ext uri="{3e2802c4-a4d2-4d8b-9148-e3be6c30e623}">
          <xlrd:rvb i="504"/>
        </ext>
      </extLst>
    </bk>
    <bk>
      <extLst>
        <ext uri="{3e2802c4-a4d2-4d8b-9148-e3be6c30e623}">
          <xlrd:rvb i="505"/>
        </ext>
      </extLst>
    </bk>
    <bk>
      <extLst>
        <ext uri="{3e2802c4-a4d2-4d8b-9148-e3be6c30e623}">
          <xlrd:rvb i="506"/>
        </ext>
      </extLst>
    </bk>
    <bk>
      <extLst>
        <ext uri="{3e2802c4-a4d2-4d8b-9148-e3be6c30e623}">
          <xlrd:rvb i="507"/>
        </ext>
      </extLst>
    </bk>
    <bk>
      <extLst>
        <ext uri="{3e2802c4-a4d2-4d8b-9148-e3be6c30e623}">
          <xlrd:rvb i="508"/>
        </ext>
      </extLst>
    </bk>
    <bk>
      <extLst>
        <ext uri="{3e2802c4-a4d2-4d8b-9148-e3be6c30e623}">
          <xlrd:rvb i="509"/>
        </ext>
      </extLst>
    </bk>
    <bk>
      <extLst>
        <ext uri="{3e2802c4-a4d2-4d8b-9148-e3be6c30e623}">
          <xlrd:rvb i="510"/>
        </ext>
      </extLst>
    </bk>
    <bk>
      <extLst>
        <ext uri="{3e2802c4-a4d2-4d8b-9148-e3be6c30e623}">
          <xlrd:rvb i="511"/>
        </ext>
      </extLst>
    </bk>
    <bk>
      <extLst>
        <ext uri="{3e2802c4-a4d2-4d8b-9148-e3be6c30e623}">
          <xlrd:rvb i="512"/>
        </ext>
      </extLst>
    </bk>
    <bk>
      <extLst>
        <ext uri="{3e2802c4-a4d2-4d8b-9148-e3be6c30e623}">
          <xlrd:rvb i="513"/>
        </ext>
      </extLst>
    </bk>
    <bk>
      <extLst>
        <ext uri="{3e2802c4-a4d2-4d8b-9148-e3be6c30e623}">
          <xlrd:rvb i="514"/>
        </ext>
      </extLst>
    </bk>
    <bk>
      <extLst>
        <ext uri="{3e2802c4-a4d2-4d8b-9148-e3be6c30e623}">
          <xlrd:rvb i="515"/>
        </ext>
      </extLst>
    </bk>
    <bk>
      <extLst>
        <ext uri="{3e2802c4-a4d2-4d8b-9148-e3be6c30e623}">
          <xlrd:rvb i="516"/>
        </ext>
      </extLst>
    </bk>
    <bk>
      <extLst>
        <ext uri="{3e2802c4-a4d2-4d8b-9148-e3be6c30e623}">
          <xlrd:rvb i="517"/>
        </ext>
      </extLst>
    </bk>
    <bk>
      <extLst>
        <ext uri="{3e2802c4-a4d2-4d8b-9148-e3be6c30e623}">
          <xlrd:rvb i="518"/>
        </ext>
      </extLst>
    </bk>
    <bk>
      <extLst>
        <ext uri="{3e2802c4-a4d2-4d8b-9148-e3be6c30e623}">
          <xlrd:rvb i="519"/>
        </ext>
      </extLst>
    </bk>
    <bk>
      <extLst>
        <ext uri="{3e2802c4-a4d2-4d8b-9148-e3be6c30e623}">
          <xlrd:rvb i="520"/>
        </ext>
      </extLst>
    </bk>
    <bk>
      <extLst>
        <ext uri="{3e2802c4-a4d2-4d8b-9148-e3be6c30e623}">
          <xlrd:rvb i="521"/>
        </ext>
      </extLst>
    </bk>
    <bk>
      <extLst>
        <ext uri="{3e2802c4-a4d2-4d8b-9148-e3be6c30e623}">
          <xlrd:rvb i="522"/>
        </ext>
      </extLst>
    </bk>
    <bk>
      <extLst>
        <ext uri="{3e2802c4-a4d2-4d8b-9148-e3be6c30e623}">
          <xlrd:rvb i="523"/>
        </ext>
      </extLst>
    </bk>
    <bk>
      <extLst>
        <ext uri="{3e2802c4-a4d2-4d8b-9148-e3be6c30e623}">
          <xlrd:rvb i="524"/>
        </ext>
      </extLst>
    </bk>
    <bk>
      <extLst>
        <ext uri="{3e2802c4-a4d2-4d8b-9148-e3be6c30e623}">
          <xlrd:rvb i="525"/>
        </ext>
      </extLst>
    </bk>
    <bk>
      <extLst>
        <ext uri="{3e2802c4-a4d2-4d8b-9148-e3be6c30e623}">
          <xlrd:rvb i="526"/>
        </ext>
      </extLst>
    </bk>
    <bk>
      <extLst>
        <ext uri="{3e2802c4-a4d2-4d8b-9148-e3be6c30e623}">
          <xlrd:rvb i="527"/>
        </ext>
      </extLst>
    </bk>
    <bk>
      <extLst>
        <ext uri="{3e2802c4-a4d2-4d8b-9148-e3be6c30e623}">
          <xlrd:rvb i="528"/>
        </ext>
      </extLst>
    </bk>
    <bk>
      <extLst>
        <ext uri="{3e2802c4-a4d2-4d8b-9148-e3be6c30e623}">
          <xlrd:rvb i="529"/>
        </ext>
      </extLst>
    </bk>
    <bk>
      <extLst>
        <ext uri="{3e2802c4-a4d2-4d8b-9148-e3be6c30e623}">
          <xlrd:rvb i="530"/>
        </ext>
      </extLst>
    </bk>
    <bk>
      <extLst>
        <ext uri="{3e2802c4-a4d2-4d8b-9148-e3be6c30e623}">
          <xlrd:rvb i="531"/>
        </ext>
      </extLst>
    </bk>
    <bk>
      <extLst>
        <ext uri="{3e2802c4-a4d2-4d8b-9148-e3be6c30e623}">
          <xlrd:rvb i="532"/>
        </ext>
      </extLst>
    </bk>
    <bk>
      <extLst>
        <ext uri="{3e2802c4-a4d2-4d8b-9148-e3be6c30e623}">
          <xlrd:rvb i="533"/>
        </ext>
      </extLst>
    </bk>
    <bk>
      <extLst>
        <ext uri="{3e2802c4-a4d2-4d8b-9148-e3be6c30e623}">
          <xlrd:rvb i="534"/>
        </ext>
      </extLst>
    </bk>
    <bk>
      <extLst>
        <ext uri="{3e2802c4-a4d2-4d8b-9148-e3be6c30e623}">
          <xlrd:rvb i="535"/>
        </ext>
      </extLst>
    </bk>
    <bk>
      <extLst>
        <ext uri="{3e2802c4-a4d2-4d8b-9148-e3be6c30e623}">
          <xlrd:rvb i="536"/>
        </ext>
      </extLst>
    </bk>
    <bk>
      <extLst>
        <ext uri="{3e2802c4-a4d2-4d8b-9148-e3be6c30e623}">
          <xlrd:rvb i="537"/>
        </ext>
      </extLst>
    </bk>
    <bk>
      <extLst>
        <ext uri="{3e2802c4-a4d2-4d8b-9148-e3be6c30e623}">
          <xlrd:rvb i="538"/>
        </ext>
      </extLst>
    </bk>
    <bk>
      <extLst>
        <ext uri="{3e2802c4-a4d2-4d8b-9148-e3be6c30e623}">
          <xlrd:rvb i="539"/>
        </ext>
      </extLst>
    </bk>
    <bk>
      <extLst>
        <ext uri="{3e2802c4-a4d2-4d8b-9148-e3be6c30e623}">
          <xlrd:rvb i="540"/>
        </ext>
      </extLst>
    </bk>
    <bk>
      <extLst>
        <ext uri="{3e2802c4-a4d2-4d8b-9148-e3be6c30e623}">
          <xlrd:rvb i="541"/>
        </ext>
      </extLst>
    </bk>
    <bk>
      <extLst>
        <ext uri="{3e2802c4-a4d2-4d8b-9148-e3be6c30e623}">
          <xlrd:rvb i="542"/>
        </ext>
      </extLst>
    </bk>
    <bk>
      <extLst>
        <ext uri="{3e2802c4-a4d2-4d8b-9148-e3be6c30e623}">
          <xlrd:rvb i="543"/>
        </ext>
      </extLst>
    </bk>
    <bk>
      <extLst>
        <ext uri="{3e2802c4-a4d2-4d8b-9148-e3be6c30e623}">
          <xlrd:rvb i="544"/>
        </ext>
      </extLst>
    </bk>
    <bk>
      <extLst>
        <ext uri="{3e2802c4-a4d2-4d8b-9148-e3be6c30e623}">
          <xlrd:rvb i="545"/>
        </ext>
      </extLst>
    </bk>
    <bk>
      <extLst>
        <ext uri="{3e2802c4-a4d2-4d8b-9148-e3be6c30e623}">
          <xlrd:rvb i="546"/>
        </ext>
      </extLst>
    </bk>
    <bk>
      <extLst>
        <ext uri="{3e2802c4-a4d2-4d8b-9148-e3be6c30e623}">
          <xlrd:rvb i="547"/>
        </ext>
      </extLst>
    </bk>
    <bk>
      <extLst>
        <ext uri="{3e2802c4-a4d2-4d8b-9148-e3be6c30e623}">
          <xlrd:rvb i="548"/>
        </ext>
      </extLst>
    </bk>
    <bk>
      <extLst>
        <ext uri="{3e2802c4-a4d2-4d8b-9148-e3be6c30e623}">
          <xlrd:rvb i="549"/>
        </ext>
      </extLst>
    </bk>
    <bk>
      <extLst>
        <ext uri="{3e2802c4-a4d2-4d8b-9148-e3be6c30e623}">
          <xlrd:rvb i="550"/>
        </ext>
      </extLst>
    </bk>
    <bk>
      <extLst>
        <ext uri="{3e2802c4-a4d2-4d8b-9148-e3be6c30e623}">
          <xlrd:rvb i="551"/>
        </ext>
      </extLst>
    </bk>
    <bk>
      <extLst>
        <ext uri="{3e2802c4-a4d2-4d8b-9148-e3be6c30e623}">
          <xlrd:rvb i="552"/>
        </ext>
      </extLst>
    </bk>
    <bk>
      <extLst>
        <ext uri="{3e2802c4-a4d2-4d8b-9148-e3be6c30e623}">
          <xlrd:rvb i="553"/>
        </ext>
      </extLst>
    </bk>
    <bk>
      <extLst>
        <ext uri="{3e2802c4-a4d2-4d8b-9148-e3be6c30e623}">
          <xlrd:rvb i="554"/>
        </ext>
      </extLst>
    </bk>
    <bk>
      <extLst>
        <ext uri="{3e2802c4-a4d2-4d8b-9148-e3be6c30e623}">
          <xlrd:rvb i="555"/>
        </ext>
      </extLst>
    </bk>
    <bk>
      <extLst>
        <ext uri="{3e2802c4-a4d2-4d8b-9148-e3be6c30e623}">
          <xlrd:rvb i="556"/>
        </ext>
      </extLst>
    </bk>
    <bk>
      <extLst>
        <ext uri="{3e2802c4-a4d2-4d8b-9148-e3be6c30e623}">
          <xlrd:rvb i="557"/>
        </ext>
      </extLst>
    </bk>
    <bk>
      <extLst>
        <ext uri="{3e2802c4-a4d2-4d8b-9148-e3be6c30e623}">
          <xlrd:rvb i="558"/>
        </ext>
      </extLst>
    </bk>
    <bk>
      <extLst>
        <ext uri="{3e2802c4-a4d2-4d8b-9148-e3be6c30e623}">
          <xlrd:rvb i="559"/>
        </ext>
      </extLst>
    </bk>
    <bk>
      <extLst>
        <ext uri="{3e2802c4-a4d2-4d8b-9148-e3be6c30e623}">
          <xlrd:rvb i="560"/>
        </ext>
      </extLst>
    </bk>
    <bk>
      <extLst>
        <ext uri="{3e2802c4-a4d2-4d8b-9148-e3be6c30e623}">
          <xlrd:rvb i="561"/>
        </ext>
      </extLst>
    </bk>
    <bk>
      <extLst>
        <ext uri="{3e2802c4-a4d2-4d8b-9148-e3be6c30e623}">
          <xlrd:rvb i="562"/>
        </ext>
      </extLst>
    </bk>
    <bk>
      <extLst>
        <ext uri="{3e2802c4-a4d2-4d8b-9148-e3be6c30e623}">
          <xlrd:rvb i="563"/>
        </ext>
      </extLst>
    </bk>
    <bk>
      <extLst>
        <ext uri="{3e2802c4-a4d2-4d8b-9148-e3be6c30e623}">
          <xlrd:rvb i="564"/>
        </ext>
      </extLst>
    </bk>
    <bk>
      <extLst>
        <ext uri="{3e2802c4-a4d2-4d8b-9148-e3be6c30e623}">
          <xlrd:rvb i="565"/>
        </ext>
      </extLst>
    </bk>
    <bk>
      <extLst>
        <ext uri="{3e2802c4-a4d2-4d8b-9148-e3be6c30e623}">
          <xlrd:rvb i="566"/>
        </ext>
      </extLst>
    </bk>
    <bk>
      <extLst>
        <ext uri="{3e2802c4-a4d2-4d8b-9148-e3be6c30e623}">
          <xlrd:rvb i="567"/>
        </ext>
      </extLst>
    </bk>
    <bk>
      <extLst>
        <ext uri="{3e2802c4-a4d2-4d8b-9148-e3be6c30e623}">
          <xlrd:rvb i="568"/>
        </ext>
      </extLst>
    </bk>
    <bk>
      <extLst>
        <ext uri="{3e2802c4-a4d2-4d8b-9148-e3be6c30e623}">
          <xlrd:rvb i="569"/>
        </ext>
      </extLst>
    </bk>
    <bk>
      <extLst>
        <ext uri="{3e2802c4-a4d2-4d8b-9148-e3be6c30e623}">
          <xlrd:rvb i="570"/>
        </ext>
      </extLst>
    </bk>
    <bk>
      <extLst>
        <ext uri="{3e2802c4-a4d2-4d8b-9148-e3be6c30e623}">
          <xlrd:rvb i="571"/>
        </ext>
      </extLst>
    </bk>
    <bk>
      <extLst>
        <ext uri="{3e2802c4-a4d2-4d8b-9148-e3be6c30e623}">
          <xlrd:rvb i="572"/>
        </ext>
      </extLst>
    </bk>
    <bk>
      <extLst>
        <ext uri="{3e2802c4-a4d2-4d8b-9148-e3be6c30e623}">
          <xlrd:rvb i="573"/>
        </ext>
      </extLst>
    </bk>
    <bk>
      <extLst>
        <ext uri="{3e2802c4-a4d2-4d8b-9148-e3be6c30e623}">
          <xlrd:rvb i="574"/>
        </ext>
      </extLst>
    </bk>
    <bk>
      <extLst>
        <ext uri="{3e2802c4-a4d2-4d8b-9148-e3be6c30e623}">
          <xlrd:rvb i="575"/>
        </ext>
      </extLst>
    </bk>
    <bk>
      <extLst>
        <ext uri="{3e2802c4-a4d2-4d8b-9148-e3be6c30e623}">
          <xlrd:rvb i="576"/>
        </ext>
      </extLst>
    </bk>
    <bk>
      <extLst>
        <ext uri="{3e2802c4-a4d2-4d8b-9148-e3be6c30e623}">
          <xlrd:rvb i="577"/>
        </ext>
      </extLst>
    </bk>
    <bk>
      <extLst>
        <ext uri="{3e2802c4-a4d2-4d8b-9148-e3be6c30e623}">
          <xlrd:rvb i="578"/>
        </ext>
      </extLst>
    </bk>
    <bk>
      <extLst>
        <ext uri="{3e2802c4-a4d2-4d8b-9148-e3be6c30e623}">
          <xlrd:rvb i="579"/>
        </ext>
      </extLst>
    </bk>
    <bk>
      <extLst>
        <ext uri="{3e2802c4-a4d2-4d8b-9148-e3be6c30e623}">
          <xlrd:rvb i="580"/>
        </ext>
      </extLst>
    </bk>
    <bk>
      <extLst>
        <ext uri="{3e2802c4-a4d2-4d8b-9148-e3be6c30e623}">
          <xlrd:rvb i="581"/>
        </ext>
      </extLst>
    </bk>
    <bk>
      <extLst>
        <ext uri="{3e2802c4-a4d2-4d8b-9148-e3be6c30e623}">
          <xlrd:rvb i="582"/>
        </ext>
      </extLst>
    </bk>
    <bk>
      <extLst>
        <ext uri="{3e2802c4-a4d2-4d8b-9148-e3be6c30e623}">
          <xlrd:rvb i="583"/>
        </ext>
      </extLst>
    </bk>
    <bk>
      <extLst>
        <ext uri="{3e2802c4-a4d2-4d8b-9148-e3be6c30e623}">
          <xlrd:rvb i="584"/>
        </ext>
      </extLst>
    </bk>
    <bk>
      <extLst>
        <ext uri="{3e2802c4-a4d2-4d8b-9148-e3be6c30e623}">
          <xlrd:rvb i="585"/>
        </ext>
      </extLst>
    </bk>
    <bk>
      <extLst>
        <ext uri="{3e2802c4-a4d2-4d8b-9148-e3be6c30e623}">
          <xlrd:rvb i="586"/>
        </ext>
      </extLst>
    </bk>
    <bk>
      <extLst>
        <ext uri="{3e2802c4-a4d2-4d8b-9148-e3be6c30e623}">
          <xlrd:rvb i="587"/>
        </ext>
      </extLst>
    </bk>
    <bk>
      <extLst>
        <ext uri="{3e2802c4-a4d2-4d8b-9148-e3be6c30e623}">
          <xlrd:rvb i="588"/>
        </ext>
      </extLst>
    </bk>
    <bk>
      <extLst>
        <ext uri="{3e2802c4-a4d2-4d8b-9148-e3be6c30e623}">
          <xlrd:rvb i="589"/>
        </ext>
      </extLst>
    </bk>
    <bk>
      <extLst>
        <ext uri="{3e2802c4-a4d2-4d8b-9148-e3be6c30e623}">
          <xlrd:rvb i="590"/>
        </ext>
      </extLst>
    </bk>
    <bk>
      <extLst>
        <ext uri="{3e2802c4-a4d2-4d8b-9148-e3be6c30e623}">
          <xlrd:rvb i="591"/>
        </ext>
      </extLst>
    </bk>
    <bk>
      <extLst>
        <ext uri="{3e2802c4-a4d2-4d8b-9148-e3be6c30e623}">
          <xlrd:rvb i="592"/>
        </ext>
      </extLst>
    </bk>
    <bk>
      <extLst>
        <ext uri="{3e2802c4-a4d2-4d8b-9148-e3be6c30e623}">
          <xlrd:rvb i="593"/>
        </ext>
      </extLst>
    </bk>
    <bk>
      <extLst>
        <ext uri="{3e2802c4-a4d2-4d8b-9148-e3be6c30e623}">
          <xlrd:rvb i="594"/>
        </ext>
      </extLst>
    </bk>
    <bk>
      <extLst>
        <ext uri="{3e2802c4-a4d2-4d8b-9148-e3be6c30e623}">
          <xlrd:rvb i="595"/>
        </ext>
      </extLst>
    </bk>
    <bk>
      <extLst>
        <ext uri="{3e2802c4-a4d2-4d8b-9148-e3be6c30e623}">
          <xlrd:rvb i="596"/>
        </ext>
      </extLst>
    </bk>
    <bk>
      <extLst>
        <ext uri="{3e2802c4-a4d2-4d8b-9148-e3be6c30e623}">
          <xlrd:rvb i="597"/>
        </ext>
      </extLst>
    </bk>
    <bk>
      <extLst>
        <ext uri="{3e2802c4-a4d2-4d8b-9148-e3be6c30e623}">
          <xlrd:rvb i="598"/>
        </ext>
      </extLst>
    </bk>
    <bk>
      <extLst>
        <ext uri="{3e2802c4-a4d2-4d8b-9148-e3be6c30e623}">
          <xlrd:rvb i="599"/>
        </ext>
      </extLst>
    </bk>
    <bk>
      <extLst>
        <ext uri="{3e2802c4-a4d2-4d8b-9148-e3be6c30e623}">
          <xlrd:rvb i="600"/>
        </ext>
      </extLst>
    </bk>
    <bk>
      <extLst>
        <ext uri="{3e2802c4-a4d2-4d8b-9148-e3be6c30e623}">
          <xlrd:rvb i="601"/>
        </ext>
      </extLst>
    </bk>
    <bk>
      <extLst>
        <ext uri="{3e2802c4-a4d2-4d8b-9148-e3be6c30e623}">
          <xlrd:rvb i="602"/>
        </ext>
      </extLst>
    </bk>
    <bk>
      <extLst>
        <ext uri="{3e2802c4-a4d2-4d8b-9148-e3be6c30e623}">
          <xlrd:rvb i="603"/>
        </ext>
      </extLst>
    </bk>
    <bk>
      <extLst>
        <ext uri="{3e2802c4-a4d2-4d8b-9148-e3be6c30e623}">
          <xlrd:rvb i="604"/>
        </ext>
      </extLst>
    </bk>
    <bk>
      <extLst>
        <ext uri="{3e2802c4-a4d2-4d8b-9148-e3be6c30e623}">
          <xlrd:rvb i="605"/>
        </ext>
      </extLst>
    </bk>
    <bk>
      <extLst>
        <ext uri="{3e2802c4-a4d2-4d8b-9148-e3be6c30e623}">
          <xlrd:rvb i="606"/>
        </ext>
      </extLst>
    </bk>
    <bk>
      <extLst>
        <ext uri="{3e2802c4-a4d2-4d8b-9148-e3be6c30e623}">
          <xlrd:rvb i="607"/>
        </ext>
      </extLst>
    </bk>
    <bk>
      <extLst>
        <ext uri="{3e2802c4-a4d2-4d8b-9148-e3be6c30e623}">
          <xlrd:rvb i="608"/>
        </ext>
      </extLst>
    </bk>
    <bk>
      <extLst>
        <ext uri="{3e2802c4-a4d2-4d8b-9148-e3be6c30e623}">
          <xlrd:rvb i="609"/>
        </ext>
      </extLst>
    </bk>
    <bk>
      <extLst>
        <ext uri="{3e2802c4-a4d2-4d8b-9148-e3be6c30e623}">
          <xlrd:rvb i="610"/>
        </ext>
      </extLst>
    </bk>
    <bk>
      <extLst>
        <ext uri="{3e2802c4-a4d2-4d8b-9148-e3be6c30e623}">
          <xlrd:rvb i="611"/>
        </ext>
      </extLst>
    </bk>
    <bk>
      <extLst>
        <ext uri="{3e2802c4-a4d2-4d8b-9148-e3be6c30e623}">
          <xlrd:rvb i="612"/>
        </ext>
      </extLst>
    </bk>
    <bk>
      <extLst>
        <ext uri="{3e2802c4-a4d2-4d8b-9148-e3be6c30e623}">
          <xlrd:rvb i="613"/>
        </ext>
      </extLst>
    </bk>
    <bk>
      <extLst>
        <ext uri="{3e2802c4-a4d2-4d8b-9148-e3be6c30e623}">
          <xlrd:rvb i="614"/>
        </ext>
      </extLst>
    </bk>
    <bk>
      <extLst>
        <ext uri="{3e2802c4-a4d2-4d8b-9148-e3be6c30e623}">
          <xlrd:rvb i="615"/>
        </ext>
      </extLst>
    </bk>
    <bk>
      <extLst>
        <ext uri="{3e2802c4-a4d2-4d8b-9148-e3be6c30e623}">
          <xlrd:rvb i="616"/>
        </ext>
      </extLst>
    </bk>
    <bk>
      <extLst>
        <ext uri="{3e2802c4-a4d2-4d8b-9148-e3be6c30e623}">
          <xlrd:rvb i="617"/>
        </ext>
      </extLst>
    </bk>
    <bk>
      <extLst>
        <ext uri="{3e2802c4-a4d2-4d8b-9148-e3be6c30e623}">
          <xlrd:rvb i="618"/>
        </ext>
      </extLst>
    </bk>
    <bk>
      <extLst>
        <ext uri="{3e2802c4-a4d2-4d8b-9148-e3be6c30e623}">
          <xlrd:rvb i="619"/>
        </ext>
      </extLst>
    </bk>
    <bk>
      <extLst>
        <ext uri="{3e2802c4-a4d2-4d8b-9148-e3be6c30e623}">
          <xlrd:rvb i="620"/>
        </ext>
      </extLst>
    </bk>
    <bk>
      <extLst>
        <ext uri="{3e2802c4-a4d2-4d8b-9148-e3be6c30e623}">
          <xlrd:rvb i="621"/>
        </ext>
      </extLst>
    </bk>
    <bk>
      <extLst>
        <ext uri="{3e2802c4-a4d2-4d8b-9148-e3be6c30e623}">
          <xlrd:rvb i="622"/>
        </ext>
      </extLst>
    </bk>
    <bk>
      <extLst>
        <ext uri="{3e2802c4-a4d2-4d8b-9148-e3be6c30e623}">
          <xlrd:rvb i="623"/>
        </ext>
      </extLst>
    </bk>
    <bk>
      <extLst>
        <ext uri="{3e2802c4-a4d2-4d8b-9148-e3be6c30e623}">
          <xlrd:rvb i="624"/>
        </ext>
      </extLst>
    </bk>
    <bk>
      <extLst>
        <ext uri="{3e2802c4-a4d2-4d8b-9148-e3be6c30e623}">
          <xlrd:rvb i="625"/>
        </ext>
      </extLst>
    </bk>
    <bk>
      <extLst>
        <ext uri="{3e2802c4-a4d2-4d8b-9148-e3be6c30e623}">
          <xlrd:rvb i="626"/>
        </ext>
      </extLst>
    </bk>
    <bk>
      <extLst>
        <ext uri="{3e2802c4-a4d2-4d8b-9148-e3be6c30e623}">
          <xlrd:rvb i="627"/>
        </ext>
      </extLst>
    </bk>
    <bk>
      <extLst>
        <ext uri="{3e2802c4-a4d2-4d8b-9148-e3be6c30e623}">
          <xlrd:rvb i="628"/>
        </ext>
      </extLst>
    </bk>
    <bk>
      <extLst>
        <ext uri="{3e2802c4-a4d2-4d8b-9148-e3be6c30e623}">
          <xlrd:rvb i="629"/>
        </ext>
      </extLst>
    </bk>
    <bk>
      <extLst>
        <ext uri="{3e2802c4-a4d2-4d8b-9148-e3be6c30e623}">
          <xlrd:rvb i="630"/>
        </ext>
      </extLst>
    </bk>
    <bk>
      <extLst>
        <ext uri="{3e2802c4-a4d2-4d8b-9148-e3be6c30e623}">
          <xlrd:rvb i="631"/>
        </ext>
      </extLst>
    </bk>
    <bk>
      <extLst>
        <ext uri="{3e2802c4-a4d2-4d8b-9148-e3be6c30e623}">
          <xlrd:rvb i="632"/>
        </ext>
      </extLst>
    </bk>
    <bk>
      <extLst>
        <ext uri="{3e2802c4-a4d2-4d8b-9148-e3be6c30e623}">
          <xlrd:rvb i="633"/>
        </ext>
      </extLst>
    </bk>
    <bk>
      <extLst>
        <ext uri="{3e2802c4-a4d2-4d8b-9148-e3be6c30e623}">
          <xlrd:rvb i="634"/>
        </ext>
      </extLst>
    </bk>
    <bk>
      <extLst>
        <ext uri="{3e2802c4-a4d2-4d8b-9148-e3be6c30e623}">
          <xlrd:rvb i="635"/>
        </ext>
      </extLst>
    </bk>
    <bk>
      <extLst>
        <ext uri="{3e2802c4-a4d2-4d8b-9148-e3be6c30e623}">
          <xlrd:rvb i="636"/>
        </ext>
      </extLst>
    </bk>
    <bk>
      <extLst>
        <ext uri="{3e2802c4-a4d2-4d8b-9148-e3be6c30e623}">
          <xlrd:rvb i="637"/>
        </ext>
      </extLst>
    </bk>
    <bk>
      <extLst>
        <ext uri="{3e2802c4-a4d2-4d8b-9148-e3be6c30e623}">
          <xlrd:rvb i="638"/>
        </ext>
      </extLst>
    </bk>
    <bk>
      <extLst>
        <ext uri="{3e2802c4-a4d2-4d8b-9148-e3be6c30e623}">
          <xlrd:rvb i="639"/>
        </ext>
      </extLst>
    </bk>
    <bk>
      <extLst>
        <ext uri="{3e2802c4-a4d2-4d8b-9148-e3be6c30e623}">
          <xlrd:rvb i="640"/>
        </ext>
      </extLst>
    </bk>
    <bk>
      <extLst>
        <ext uri="{3e2802c4-a4d2-4d8b-9148-e3be6c30e623}">
          <xlrd:rvb i="641"/>
        </ext>
      </extLst>
    </bk>
    <bk>
      <extLst>
        <ext uri="{3e2802c4-a4d2-4d8b-9148-e3be6c30e623}">
          <xlrd:rvb i="642"/>
        </ext>
      </extLst>
    </bk>
    <bk>
      <extLst>
        <ext uri="{3e2802c4-a4d2-4d8b-9148-e3be6c30e623}">
          <xlrd:rvb i="643"/>
        </ext>
      </extLst>
    </bk>
    <bk>
      <extLst>
        <ext uri="{3e2802c4-a4d2-4d8b-9148-e3be6c30e623}">
          <xlrd:rvb i="644"/>
        </ext>
      </extLst>
    </bk>
    <bk>
      <extLst>
        <ext uri="{3e2802c4-a4d2-4d8b-9148-e3be6c30e623}">
          <xlrd:rvb i="645"/>
        </ext>
      </extLst>
    </bk>
    <bk>
      <extLst>
        <ext uri="{3e2802c4-a4d2-4d8b-9148-e3be6c30e623}">
          <xlrd:rvb i="646"/>
        </ext>
      </extLst>
    </bk>
    <bk>
      <extLst>
        <ext uri="{3e2802c4-a4d2-4d8b-9148-e3be6c30e623}">
          <xlrd:rvb i="647"/>
        </ext>
      </extLst>
    </bk>
    <bk>
      <extLst>
        <ext uri="{3e2802c4-a4d2-4d8b-9148-e3be6c30e623}">
          <xlrd:rvb i="648"/>
        </ext>
      </extLst>
    </bk>
    <bk>
      <extLst>
        <ext uri="{3e2802c4-a4d2-4d8b-9148-e3be6c30e623}">
          <xlrd:rvb i="649"/>
        </ext>
      </extLst>
    </bk>
    <bk>
      <extLst>
        <ext uri="{3e2802c4-a4d2-4d8b-9148-e3be6c30e623}">
          <xlrd:rvb i="650"/>
        </ext>
      </extLst>
    </bk>
    <bk>
      <extLst>
        <ext uri="{3e2802c4-a4d2-4d8b-9148-e3be6c30e623}">
          <xlrd:rvb i="651"/>
        </ext>
      </extLst>
    </bk>
    <bk>
      <extLst>
        <ext uri="{3e2802c4-a4d2-4d8b-9148-e3be6c30e623}">
          <xlrd:rvb i="652"/>
        </ext>
      </extLst>
    </bk>
    <bk>
      <extLst>
        <ext uri="{3e2802c4-a4d2-4d8b-9148-e3be6c30e623}">
          <xlrd:rvb i="653"/>
        </ext>
      </extLst>
    </bk>
    <bk>
      <extLst>
        <ext uri="{3e2802c4-a4d2-4d8b-9148-e3be6c30e623}">
          <xlrd:rvb i="654"/>
        </ext>
      </extLst>
    </bk>
    <bk>
      <extLst>
        <ext uri="{3e2802c4-a4d2-4d8b-9148-e3be6c30e623}">
          <xlrd:rvb i="655"/>
        </ext>
      </extLst>
    </bk>
    <bk>
      <extLst>
        <ext uri="{3e2802c4-a4d2-4d8b-9148-e3be6c30e623}">
          <xlrd:rvb i="656"/>
        </ext>
      </extLst>
    </bk>
    <bk>
      <extLst>
        <ext uri="{3e2802c4-a4d2-4d8b-9148-e3be6c30e623}">
          <xlrd:rvb i="657"/>
        </ext>
      </extLst>
    </bk>
    <bk>
      <extLst>
        <ext uri="{3e2802c4-a4d2-4d8b-9148-e3be6c30e623}">
          <xlrd:rvb i="658"/>
        </ext>
      </extLst>
    </bk>
    <bk>
      <extLst>
        <ext uri="{3e2802c4-a4d2-4d8b-9148-e3be6c30e623}">
          <xlrd:rvb i="659"/>
        </ext>
      </extLst>
    </bk>
    <bk>
      <extLst>
        <ext uri="{3e2802c4-a4d2-4d8b-9148-e3be6c30e623}">
          <xlrd:rvb i="660"/>
        </ext>
      </extLst>
    </bk>
    <bk>
      <extLst>
        <ext uri="{3e2802c4-a4d2-4d8b-9148-e3be6c30e623}">
          <xlrd:rvb i="661"/>
        </ext>
      </extLst>
    </bk>
    <bk>
      <extLst>
        <ext uri="{3e2802c4-a4d2-4d8b-9148-e3be6c30e623}">
          <xlrd:rvb i="662"/>
        </ext>
      </extLst>
    </bk>
    <bk>
      <extLst>
        <ext uri="{3e2802c4-a4d2-4d8b-9148-e3be6c30e623}">
          <xlrd:rvb i="663"/>
        </ext>
      </extLst>
    </bk>
    <bk>
      <extLst>
        <ext uri="{3e2802c4-a4d2-4d8b-9148-e3be6c30e623}">
          <xlrd:rvb i="664"/>
        </ext>
      </extLst>
    </bk>
    <bk>
      <extLst>
        <ext uri="{3e2802c4-a4d2-4d8b-9148-e3be6c30e623}">
          <xlrd:rvb i="665"/>
        </ext>
      </extLst>
    </bk>
    <bk>
      <extLst>
        <ext uri="{3e2802c4-a4d2-4d8b-9148-e3be6c30e623}">
          <xlrd:rvb i="666"/>
        </ext>
      </extLst>
    </bk>
    <bk>
      <extLst>
        <ext uri="{3e2802c4-a4d2-4d8b-9148-e3be6c30e623}">
          <xlrd:rvb i="667"/>
        </ext>
      </extLst>
    </bk>
    <bk>
      <extLst>
        <ext uri="{3e2802c4-a4d2-4d8b-9148-e3be6c30e623}">
          <xlrd:rvb i="668"/>
        </ext>
      </extLst>
    </bk>
    <bk>
      <extLst>
        <ext uri="{3e2802c4-a4d2-4d8b-9148-e3be6c30e623}">
          <xlrd:rvb i="669"/>
        </ext>
      </extLst>
    </bk>
    <bk>
      <extLst>
        <ext uri="{3e2802c4-a4d2-4d8b-9148-e3be6c30e623}">
          <xlrd:rvb i="670"/>
        </ext>
      </extLst>
    </bk>
    <bk>
      <extLst>
        <ext uri="{3e2802c4-a4d2-4d8b-9148-e3be6c30e623}">
          <xlrd:rvb i="671"/>
        </ext>
      </extLst>
    </bk>
    <bk>
      <extLst>
        <ext uri="{3e2802c4-a4d2-4d8b-9148-e3be6c30e623}">
          <xlrd:rvb i="672"/>
        </ext>
      </extLst>
    </bk>
    <bk>
      <extLst>
        <ext uri="{3e2802c4-a4d2-4d8b-9148-e3be6c30e623}">
          <xlrd:rvb i="673"/>
        </ext>
      </extLst>
    </bk>
    <bk>
      <extLst>
        <ext uri="{3e2802c4-a4d2-4d8b-9148-e3be6c30e623}">
          <xlrd:rvb i="674"/>
        </ext>
      </extLst>
    </bk>
    <bk>
      <extLst>
        <ext uri="{3e2802c4-a4d2-4d8b-9148-e3be6c30e623}">
          <xlrd:rvb i="675"/>
        </ext>
      </extLst>
    </bk>
    <bk>
      <extLst>
        <ext uri="{3e2802c4-a4d2-4d8b-9148-e3be6c30e623}">
          <xlrd:rvb i="676"/>
        </ext>
      </extLst>
    </bk>
    <bk>
      <extLst>
        <ext uri="{3e2802c4-a4d2-4d8b-9148-e3be6c30e623}">
          <xlrd:rvb i="677"/>
        </ext>
      </extLst>
    </bk>
    <bk>
      <extLst>
        <ext uri="{3e2802c4-a4d2-4d8b-9148-e3be6c30e623}">
          <xlrd:rvb i="678"/>
        </ext>
      </extLst>
    </bk>
    <bk>
      <extLst>
        <ext uri="{3e2802c4-a4d2-4d8b-9148-e3be6c30e623}">
          <xlrd:rvb i="679"/>
        </ext>
      </extLst>
    </bk>
    <bk>
      <extLst>
        <ext uri="{3e2802c4-a4d2-4d8b-9148-e3be6c30e623}">
          <xlrd:rvb i="680"/>
        </ext>
      </extLst>
    </bk>
    <bk>
      <extLst>
        <ext uri="{3e2802c4-a4d2-4d8b-9148-e3be6c30e623}">
          <xlrd:rvb i="681"/>
        </ext>
      </extLst>
    </bk>
    <bk>
      <extLst>
        <ext uri="{3e2802c4-a4d2-4d8b-9148-e3be6c30e623}">
          <xlrd:rvb i="682"/>
        </ext>
      </extLst>
    </bk>
    <bk>
      <extLst>
        <ext uri="{3e2802c4-a4d2-4d8b-9148-e3be6c30e623}">
          <xlrd:rvb i="683"/>
        </ext>
      </extLst>
    </bk>
    <bk>
      <extLst>
        <ext uri="{3e2802c4-a4d2-4d8b-9148-e3be6c30e623}">
          <xlrd:rvb i="684"/>
        </ext>
      </extLst>
    </bk>
    <bk>
      <extLst>
        <ext uri="{3e2802c4-a4d2-4d8b-9148-e3be6c30e623}">
          <xlrd:rvb i="685"/>
        </ext>
      </extLst>
    </bk>
    <bk>
      <extLst>
        <ext uri="{3e2802c4-a4d2-4d8b-9148-e3be6c30e623}">
          <xlrd:rvb i="686"/>
        </ext>
      </extLst>
    </bk>
    <bk>
      <extLst>
        <ext uri="{3e2802c4-a4d2-4d8b-9148-e3be6c30e623}">
          <xlrd:rvb i="687"/>
        </ext>
      </extLst>
    </bk>
    <bk>
      <extLst>
        <ext uri="{3e2802c4-a4d2-4d8b-9148-e3be6c30e623}">
          <xlrd:rvb i="688"/>
        </ext>
      </extLst>
    </bk>
    <bk>
      <extLst>
        <ext uri="{3e2802c4-a4d2-4d8b-9148-e3be6c30e623}">
          <xlrd:rvb i="689"/>
        </ext>
      </extLst>
    </bk>
    <bk>
      <extLst>
        <ext uri="{3e2802c4-a4d2-4d8b-9148-e3be6c30e623}">
          <xlrd:rvb i="690"/>
        </ext>
      </extLst>
    </bk>
    <bk>
      <extLst>
        <ext uri="{3e2802c4-a4d2-4d8b-9148-e3be6c30e623}">
          <xlrd:rvb i="691"/>
        </ext>
      </extLst>
    </bk>
    <bk>
      <extLst>
        <ext uri="{3e2802c4-a4d2-4d8b-9148-e3be6c30e623}">
          <xlrd:rvb i="692"/>
        </ext>
      </extLst>
    </bk>
    <bk>
      <extLst>
        <ext uri="{3e2802c4-a4d2-4d8b-9148-e3be6c30e623}">
          <xlrd:rvb i="693"/>
        </ext>
      </extLst>
    </bk>
    <bk>
      <extLst>
        <ext uri="{3e2802c4-a4d2-4d8b-9148-e3be6c30e623}">
          <xlrd:rvb i="694"/>
        </ext>
      </extLst>
    </bk>
    <bk>
      <extLst>
        <ext uri="{3e2802c4-a4d2-4d8b-9148-e3be6c30e623}">
          <xlrd:rvb i="695"/>
        </ext>
      </extLst>
    </bk>
    <bk>
      <extLst>
        <ext uri="{3e2802c4-a4d2-4d8b-9148-e3be6c30e623}">
          <xlrd:rvb i="696"/>
        </ext>
      </extLst>
    </bk>
    <bk>
      <extLst>
        <ext uri="{3e2802c4-a4d2-4d8b-9148-e3be6c30e623}">
          <xlrd:rvb i="697"/>
        </ext>
      </extLst>
    </bk>
    <bk>
      <extLst>
        <ext uri="{3e2802c4-a4d2-4d8b-9148-e3be6c30e623}">
          <xlrd:rvb i="698"/>
        </ext>
      </extLst>
    </bk>
    <bk>
      <extLst>
        <ext uri="{3e2802c4-a4d2-4d8b-9148-e3be6c30e623}">
          <xlrd:rvb i="699"/>
        </ext>
      </extLst>
    </bk>
    <bk>
      <extLst>
        <ext uri="{3e2802c4-a4d2-4d8b-9148-e3be6c30e623}">
          <xlrd:rvb i="700"/>
        </ext>
      </extLst>
    </bk>
    <bk>
      <extLst>
        <ext uri="{3e2802c4-a4d2-4d8b-9148-e3be6c30e623}">
          <xlrd:rvb i="701"/>
        </ext>
      </extLst>
    </bk>
    <bk>
      <extLst>
        <ext uri="{3e2802c4-a4d2-4d8b-9148-e3be6c30e623}">
          <xlrd:rvb i="702"/>
        </ext>
      </extLst>
    </bk>
    <bk>
      <extLst>
        <ext uri="{3e2802c4-a4d2-4d8b-9148-e3be6c30e623}">
          <xlrd:rvb i="703"/>
        </ext>
      </extLst>
    </bk>
    <bk>
      <extLst>
        <ext uri="{3e2802c4-a4d2-4d8b-9148-e3be6c30e623}">
          <xlrd:rvb i="704"/>
        </ext>
      </extLst>
    </bk>
    <bk>
      <extLst>
        <ext uri="{3e2802c4-a4d2-4d8b-9148-e3be6c30e623}">
          <xlrd:rvb i="705"/>
        </ext>
      </extLst>
    </bk>
    <bk>
      <extLst>
        <ext uri="{3e2802c4-a4d2-4d8b-9148-e3be6c30e623}">
          <xlrd:rvb i="706"/>
        </ext>
      </extLst>
    </bk>
    <bk>
      <extLst>
        <ext uri="{3e2802c4-a4d2-4d8b-9148-e3be6c30e623}">
          <xlrd:rvb i="707"/>
        </ext>
      </extLst>
    </bk>
    <bk>
      <extLst>
        <ext uri="{3e2802c4-a4d2-4d8b-9148-e3be6c30e623}">
          <xlrd:rvb i="708"/>
        </ext>
      </extLst>
    </bk>
    <bk>
      <extLst>
        <ext uri="{3e2802c4-a4d2-4d8b-9148-e3be6c30e623}">
          <xlrd:rvb i="709"/>
        </ext>
      </extLst>
    </bk>
    <bk>
      <extLst>
        <ext uri="{3e2802c4-a4d2-4d8b-9148-e3be6c30e623}">
          <xlrd:rvb i="710"/>
        </ext>
      </extLst>
    </bk>
    <bk>
      <extLst>
        <ext uri="{3e2802c4-a4d2-4d8b-9148-e3be6c30e623}">
          <xlrd:rvb i="711"/>
        </ext>
      </extLst>
    </bk>
    <bk>
      <extLst>
        <ext uri="{3e2802c4-a4d2-4d8b-9148-e3be6c30e623}">
          <xlrd:rvb i="712"/>
        </ext>
      </extLst>
    </bk>
    <bk>
      <extLst>
        <ext uri="{3e2802c4-a4d2-4d8b-9148-e3be6c30e623}">
          <xlrd:rvb i="713"/>
        </ext>
      </extLst>
    </bk>
    <bk>
      <extLst>
        <ext uri="{3e2802c4-a4d2-4d8b-9148-e3be6c30e623}">
          <xlrd:rvb i="714"/>
        </ext>
      </extLst>
    </bk>
    <bk>
      <extLst>
        <ext uri="{3e2802c4-a4d2-4d8b-9148-e3be6c30e623}">
          <xlrd:rvb i="715"/>
        </ext>
      </extLst>
    </bk>
    <bk>
      <extLst>
        <ext uri="{3e2802c4-a4d2-4d8b-9148-e3be6c30e623}">
          <xlrd:rvb i="716"/>
        </ext>
      </extLst>
    </bk>
    <bk>
      <extLst>
        <ext uri="{3e2802c4-a4d2-4d8b-9148-e3be6c30e623}">
          <xlrd:rvb i="717"/>
        </ext>
      </extLst>
    </bk>
    <bk>
      <extLst>
        <ext uri="{3e2802c4-a4d2-4d8b-9148-e3be6c30e623}">
          <xlrd:rvb i="718"/>
        </ext>
      </extLst>
    </bk>
    <bk>
      <extLst>
        <ext uri="{3e2802c4-a4d2-4d8b-9148-e3be6c30e623}">
          <xlrd:rvb i="719"/>
        </ext>
      </extLst>
    </bk>
    <bk>
      <extLst>
        <ext uri="{3e2802c4-a4d2-4d8b-9148-e3be6c30e623}">
          <xlrd:rvb i="720"/>
        </ext>
      </extLst>
    </bk>
    <bk>
      <extLst>
        <ext uri="{3e2802c4-a4d2-4d8b-9148-e3be6c30e623}">
          <xlrd:rvb i="721"/>
        </ext>
      </extLst>
    </bk>
    <bk>
      <extLst>
        <ext uri="{3e2802c4-a4d2-4d8b-9148-e3be6c30e623}">
          <xlrd:rvb i="722"/>
        </ext>
      </extLst>
    </bk>
    <bk>
      <extLst>
        <ext uri="{3e2802c4-a4d2-4d8b-9148-e3be6c30e623}">
          <xlrd:rvb i="723"/>
        </ext>
      </extLst>
    </bk>
    <bk>
      <extLst>
        <ext uri="{3e2802c4-a4d2-4d8b-9148-e3be6c30e623}">
          <xlrd:rvb i="724"/>
        </ext>
      </extLst>
    </bk>
    <bk>
      <extLst>
        <ext uri="{3e2802c4-a4d2-4d8b-9148-e3be6c30e623}">
          <xlrd:rvb i="725"/>
        </ext>
      </extLst>
    </bk>
    <bk>
      <extLst>
        <ext uri="{3e2802c4-a4d2-4d8b-9148-e3be6c30e623}">
          <xlrd:rvb i="726"/>
        </ext>
      </extLst>
    </bk>
    <bk>
      <extLst>
        <ext uri="{3e2802c4-a4d2-4d8b-9148-e3be6c30e623}">
          <xlrd:rvb i="727"/>
        </ext>
      </extLst>
    </bk>
    <bk>
      <extLst>
        <ext uri="{3e2802c4-a4d2-4d8b-9148-e3be6c30e623}">
          <xlrd:rvb i="728"/>
        </ext>
      </extLst>
    </bk>
    <bk>
      <extLst>
        <ext uri="{3e2802c4-a4d2-4d8b-9148-e3be6c30e623}">
          <xlrd:rvb i="729"/>
        </ext>
      </extLst>
    </bk>
    <bk>
      <extLst>
        <ext uri="{3e2802c4-a4d2-4d8b-9148-e3be6c30e623}">
          <xlrd:rvb i="730"/>
        </ext>
      </extLst>
    </bk>
    <bk>
      <extLst>
        <ext uri="{3e2802c4-a4d2-4d8b-9148-e3be6c30e623}">
          <xlrd:rvb i="731"/>
        </ext>
      </extLst>
    </bk>
    <bk>
      <extLst>
        <ext uri="{3e2802c4-a4d2-4d8b-9148-e3be6c30e623}">
          <xlrd:rvb i="732"/>
        </ext>
      </extLst>
    </bk>
    <bk>
      <extLst>
        <ext uri="{3e2802c4-a4d2-4d8b-9148-e3be6c30e623}">
          <xlrd:rvb i="733"/>
        </ext>
      </extLst>
    </bk>
    <bk>
      <extLst>
        <ext uri="{3e2802c4-a4d2-4d8b-9148-e3be6c30e623}">
          <xlrd:rvb i="734"/>
        </ext>
      </extLst>
    </bk>
    <bk>
      <extLst>
        <ext uri="{3e2802c4-a4d2-4d8b-9148-e3be6c30e623}">
          <xlrd:rvb i="735"/>
        </ext>
      </extLst>
    </bk>
    <bk>
      <extLst>
        <ext uri="{3e2802c4-a4d2-4d8b-9148-e3be6c30e623}">
          <xlrd:rvb i="736"/>
        </ext>
      </extLst>
    </bk>
    <bk>
      <extLst>
        <ext uri="{3e2802c4-a4d2-4d8b-9148-e3be6c30e623}">
          <xlrd:rvb i="737"/>
        </ext>
      </extLst>
    </bk>
    <bk>
      <extLst>
        <ext uri="{3e2802c4-a4d2-4d8b-9148-e3be6c30e623}">
          <xlrd:rvb i="738"/>
        </ext>
      </extLst>
    </bk>
    <bk>
      <extLst>
        <ext uri="{3e2802c4-a4d2-4d8b-9148-e3be6c30e623}">
          <xlrd:rvb i="739"/>
        </ext>
      </extLst>
    </bk>
    <bk>
      <extLst>
        <ext uri="{3e2802c4-a4d2-4d8b-9148-e3be6c30e623}">
          <xlrd:rvb i="740"/>
        </ext>
      </extLst>
    </bk>
    <bk>
      <extLst>
        <ext uri="{3e2802c4-a4d2-4d8b-9148-e3be6c30e623}">
          <xlrd:rvb i="741"/>
        </ext>
      </extLst>
    </bk>
    <bk>
      <extLst>
        <ext uri="{3e2802c4-a4d2-4d8b-9148-e3be6c30e623}">
          <xlrd:rvb i="742"/>
        </ext>
      </extLst>
    </bk>
    <bk>
      <extLst>
        <ext uri="{3e2802c4-a4d2-4d8b-9148-e3be6c30e623}">
          <xlrd:rvb i="743"/>
        </ext>
      </extLst>
    </bk>
    <bk>
      <extLst>
        <ext uri="{3e2802c4-a4d2-4d8b-9148-e3be6c30e623}">
          <xlrd:rvb i="744"/>
        </ext>
      </extLst>
    </bk>
    <bk>
      <extLst>
        <ext uri="{3e2802c4-a4d2-4d8b-9148-e3be6c30e623}">
          <xlrd:rvb i="745"/>
        </ext>
      </extLst>
    </bk>
    <bk>
      <extLst>
        <ext uri="{3e2802c4-a4d2-4d8b-9148-e3be6c30e623}">
          <xlrd:rvb i="746"/>
        </ext>
      </extLst>
    </bk>
    <bk>
      <extLst>
        <ext uri="{3e2802c4-a4d2-4d8b-9148-e3be6c30e623}">
          <xlrd:rvb i="747"/>
        </ext>
      </extLst>
    </bk>
    <bk>
      <extLst>
        <ext uri="{3e2802c4-a4d2-4d8b-9148-e3be6c30e623}">
          <xlrd:rvb i="748"/>
        </ext>
      </extLst>
    </bk>
    <bk>
      <extLst>
        <ext uri="{3e2802c4-a4d2-4d8b-9148-e3be6c30e623}">
          <xlrd:rvb i="749"/>
        </ext>
      </extLst>
    </bk>
    <bk>
      <extLst>
        <ext uri="{3e2802c4-a4d2-4d8b-9148-e3be6c30e623}">
          <xlrd:rvb i="750"/>
        </ext>
      </extLst>
    </bk>
    <bk>
      <extLst>
        <ext uri="{3e2802c4-a4d2-4d8b-9148-e3be6c30e623}">
          <xlrd:rvb i="751"/>
        </ext>
      </extLst>
    </bk>
    <bk>
      <extLst>
        <ext uri="{3e2802c4-a4d2-4d8b-9148-e3be6c30e623}">
          <xlrd:rvb i="752"/>
        </ext>
      </extLst>
    </bk>
    <bk>
      <extLst>
        <ext uri="{3e2802c4-a4d2-4d8b-9148-e3be6c30e623}">
          <xlrd:rvb i="753"/>
        </ext>
      </extLst>
    </bk>
    <bk>
      <extLst>
        <ext uri="{3e2802c4-a4d2-4d8b-9148-e3be6c30e623}">
          <xlrd:rvb i="754"/>
        </ext>
      </extLst>
    </bk>
    <bk>
      <extLst>
        <ext uri="{3e2802c4-a4d2-4d8b-9148-e3be6c30e623}">
          <xlrd:rvb i="755"/>
        </ext>
      </extLst>
    </bk>
    <bk>
      <extLst>
        <ext uri="{3e2802c4-a4d2-4d8b-9148-e3be6c30e623}">
          <xlrd:rvb i="756"/>
        </ext>
      </extLst>
    </bk>
    <bk>
      <extLst>
        <ext uri="{3e2802c4-a4d2-4d8b-9148-e3be6c30e623}">
          <xlrd:rvb i="757"/>
        </ext>
      </extLst>
    </bk>
    <bk>
      <extLst>
        <ext uri="{3e2802c4-a4d2-4d8b-9148-e3be6c30e623}">
          <xlrd:rvb i="758"/>
        </ext>
      </extLst>
    </bk>
    <bk>
      <extLst>
        <ext uri="{3e2802c4-a4d2-4d8b-9148-e3be6c30e623}">
          <xlrd:rvb i="759"/>
        </ext>
      </extLst>
    </bk>
    <bk>
      <extLst>
        <ext uri="{3e2802c4-a4d2-4d8b-9148-e3be6c30e623}">
          <xlrd:rvb i="760"/>
        </ext>
      </extLst>
    </bk>
    <bk>
      <extLst>
        <ext uri="{3e2802c4-a4d2-4d8b-9148-e3be6c30e623}">
          <xlrd:rvb i="761"/>
        </ext>
      </extLst>
    </bk>
    <bk>
      <extLst>
        <ext uri="{3e2802c4-a4d2-4d8b-9148-e3be6c30e623}">
          <xlrd:rvb i="762"/>
        </ext>
      </extLst>
    </bk>
    <bk>
      <extLst>
        <ext uri="{3e2802c4-a4d2-4d8b-9148-e3be6c30e623}">
          <xlrd:rvb i="763"/>
        </ext>
      </extLst>
    </bk>
    <bk>
      <extLst>
        <ext uri="{3e2802c4-a4d2-4d8b-9148-e3be6c30e623}">
          <xlrd:rvb i="764"/>
        </ext>
      </extLst>
    </bk>
    <bk>
      <extLst>
        <ext uri="{3e2802c4-a4d2-4d8b-9148-e3be6c30e623}">
          <xlrd:rvb i="765"/>
        </ext>
      </extLst>
    </bk>
    <bk>
      <extLst>
        <ext uri="{3e2802c4-a4d2-4d8b-9148-e3be6c30e623}">
          <xlrd:rvb i="766"/>
        </ext>
      </extLst>
    </bk>
    <bk>
      <extLst>
        <ext uri="{3e2802c4-a4d2-4d8b-9148-e3be6c30e623}">
          <xlrd:rvb i="767"/>
        </ext>
      </extLst>
    </bk>
    <bk>
      <extLst>
        <ext uri="{3e2802c4-a4d2-4d8b-9148-e3be6c30e623}">
          <xlrd:rvb i="768"/>
        </ext>
      </extLst>
    </bk>
    <bk>
      <extLst>
        <ext uri="{3e2802c4-a4d2-4d8b-9148-e3be6c30e623}">
          <xlrd:rvb i="769"/>
        </ext>
      </extLst>
    </bk>
    <bk>
      <extLst>
        <ext uri="{3e2802c4-a4d2-4d8b-9148-e3be6c30e623}">
          <xlrd:rvb i="770"/>
        </ext>
      </extLst>
    </bk>
    <bk>
      <extLst>
        <ext uri="{3e2802c4-a4d2-4d8b-9148-e3be6c30e623}">
          <xlrd:rvb i="771"/>
        </ext>
      </extLst>
    </bk>
    <bk>
      <extLst>
        <ext uri="{3e2802c4-a4d2-4d8b-9148-e3be6c30e623}">
          <xlrd:rvb i="772"/>
        </ext>
      </extLst>
    </bk>
    <bk>
      <extLst>
        <ext uri="{3e2802c4-a4d2-4d8b-9148-e3be6c30e623}">
          <xlrd:rvb i="773"/>
        </ext>
      </extLst>
    </bk>
    <bk>
      <extLst>
        <ext uri="{3e2802c4-a4d2-4d8b-9148-e3be6c30e623}">
          <xlrd:rvb i="774"/>
        </ext>
      </extLst>
    </bk>
    <bk>
      <extLst>
        <ext uri="{3e2802c4-a4d2-4d8b-9148-e3be6c30e623}">
          <xlrd:rvb i="775"/>
        </ext>
      </extLst>
    </bk>
    <bk>
      <extLst>
        <ext uri="{3e2802c4-a4d2-4d8b-9148-e3be6c30e623}">
          <xlrd:rvb i="776"/>
        </ext>
      </extLst>
    </bk>
    <bk>
      <extLst>
        <ext uri="{3e2802c4-a4d2-4d8b-9148-e3be6c30e623}">
          <xlrd:rvb i="777"/>
        </ext>
      </extLst>
    </bk>
    <bk>
      <extLst>
        <ext uri="{3e2802c4-a4d2-4d8b-9148-e3be6c30e623}">
          <xlrd:rvb i="778"/>
        </ext>
      </extLst>
    </bk>
    <bk>
      <extLst>
        <ext uri="{3e2802c4-a4d2-4d8b-9148-e3be6c30e623}">
          <xlrd:rvb i="779"/>
        </ext>
      </extLst>
    </bk>
    <bk>
      <extLst>
        <ext uri="{3e2802c4-a4d2-4d8b-9148-e3be6c30e623}">
          <xlrd:rvb i="780"/>
        </ext>
      </extLst>
    </bk>
    <bk>
      <extLst>
        <ext uri="{3e2802c4-a4d2-4d8b-9148-e3be6c30e623}">
          <xlrd:rvb i="781"/>
        </ext>
      </extLst>
    </bk>
    <bk>
      <extLst>
        <ext uri="{3e2802c4-a4d2-4d8b-9148-e3be6c30e623}">
          <xlrd:rvb i="782"/>
        </ext>
      </extLst>
    </bk>
    <bk>
      <extLst>
        <ext uri="{3e2802c4-a4d2-4d8b-9148-e3be6c30e623}">
          <xlrd:rvb i="783"/>
        </ext>
      </extLst>
    </bk>
    <bk>
      <extLst>
        <ext uri="{3e2802c4-a4d2-4d8b-9148-e3be6c30e623}">
          <xlrd:rvb i="784"/>
        </ext>
      </extLst>
    </bk>
    <bk>
      <extLst>
        <ext uri="{3e2802c4-a4d2-4d8b-9148-e3be6c30e623}">
          <xlrd:rvb i="785"/>
        </ext>
      </extLst>
    </bk>
    <bk>
      <extLst>
        <ext uri="{3e2802c4-a4d2-4d8b-9148-e3be6c30e623}">
          <xlrd:rvb i="786"/>
        </ext>
      </extLst>
    </bk>
    <bk>
      <extLst>
        <ext uri="{3e2802c4-a4d2-4d8b-9148-e3be6c30e623}">
          <xlrd:rvb i="787"/>
        </ext>
      </extLst>
    </bk>
    <bk>
      <extLst>
        <ext uri="{3e2802c4-a4d2-4d8b-9148-e3be6c30e623}">
          <xlrd:rvb i="788"/>
        </ext>
      </extLst>
    </bk>
    <bk>
      <extLst>
        <ext uri="{3e2802c4-a4d2-4d8b-9148-e3be6c30e623}">
          <xlrd:rvb i="789"/>
        </ext>
      </extLst>
    </bk>
    <bk>
      <extLst>
        <ext uri="{3e2802c4-a4d2-4d8b-9148-e3be6c30e623}">
          <xlrd:rvb i="790"/>
        </ext>
      </extLst>
    </bk>
    <bk>
      <extLst>
        <ext uri="{3e2802c4-a4d2-4d8b-9148-e3be6c30e623}">
          <xlrd:rvb i="791"/>
        </ext>
      </extLst>
    </bk>
    <bk>
      <extLst>
        <ext uri="{3e2802c4-a4d2-4d8b-9148-e3be6c30e623}">
          <xlrd:rvb i="792"/>
        </ext>
      </extLst>
    </bk>
    <bk>
      <extLst>
        <ext uri="{3e2802c4-a4d2-4d8b-9148-e3be6c30e623}">
          <xlrd:rvb i="793"/>
        </ext>
      </extLst>
    </bk>
    <bk>
      <extLst>
        <ext uri="{3e2802c4-a4d2-4d8b-9148-e3be6c30e623}">
          <xlrd:rvb i="794"/>
        </ext>
      </extLst>
    </bk>
    <bk>
      <extLst>
        <ext uri="{3e2802c4-a4d2-4d8b-9148-e3be6c30e623}">
          <xlrd:rvb i="795"/>
        </ext>
      </extLst>
    </bk>
    <bk>
      <extLst>
        <ext uri="{3e2802c4-a4d2-4d8b-9148-e3be6c30e623}">
          <xlrd:rvb i="796"/>
        </ext>
      </extLst>
    </bk>
    <bk>
      <extLst>
        <ext uri="{3e2802c4-a4d2-4d8b-9148-e3be6c30e623}">
          <xlrd:rvb i="797"/>
        </ext>
      </extLst>
    </bk>
    <bk>
      <extLst>
        <ext uri="{3e2802c4-a4d2-4d8b-9148-e3be6c30e623}">
          <xlrd:rvb i="798"/>
        </ext>
      </extLst>
    </bk>
    <bk>
      <extLst>
        <ext uri="{3e2802c4-a4d2-4d8b-9148-e3be6c30e623}">
          <xlrd:rvb i="799"/>
        </ext>
      </extLst>
    </bk>
    <bk>
      <extLst>
        <ext uri="{3e2802c4-a4d2-4d8b-9148-e3be6c30e623}">
          <xlrd:rvb i="800"/>
        </ext>
      </extLst>
    </bk>
    <bk>
      <extLst>
        <ext uri="{3e2802c4-a4d2-4d8b-9148-e3be6c30e623}">
          <xlrd:rvb i="801"/>
        </ext>
      </extLst>
    </bk>
    <bk>
      <extLst>
        <ext uri="{3e2802c4-a4d2-4d8b-9148-e3be6c30e623}">
          <xlrd:rvb i="802"/>
        </ext>
      </extLst>
    </bk>
    <bk>
      <extLst>
        <ext uri="{3e2802c4-a4d2-4d8b-9148-e3be6c30e623}">
          <xlrd:rvb i="803"/>
        </ext>
      </extLst>
    </bk>
    <bk>
      <extLst>
        <ext uri="{3e2802c4-a4d2-4d8b-9148-e3be6c30e623}">
          <xlrd:rvb i="804"/>
        </ext>
      </extLst>
    </bk>
    <bk>
      <extLst>
        <ext uri="{3e2802c4-a4d2-4d8b-9148-e3be6c30e623}">
          <xlrd:rvb i="805"/>
        </ext>
      </extLst>
    </bk>
    <bk>
      <extLst>
        <ext uri="{3e2802c4-a4d2-4d8b-9148-e3be6c30e623}">
          <xlrd:rvb i="806"/>
        </ext>
      </extLst>
    </bk>
    <bk>
      <extLst>
        <ext uri="{3e2802c4-a4d2-4d8b-9148-e3be6c30e623}">
          <xlrd:rvb i="807"/>
        </ext>
      </extLst>
    </bk>
    <bk>
      <extLst>
        <ext uri="{3e2802c4-a4d2-4d8b-9148-e3be6c30e623}">
          <xlrd:rvb i="808"/>
        </ext>
      </extLst>
    </bk>
    <bk>
      <extLst>
        <ext uri="{3e2802c4-a4d2-4d8b-9148-e3be6c30e623}">
          <xlrd:rvb i="809"/>
        </ext>
      </extLst>
    </bk>
    <bk>
      <extLst>
        <ext uri="{3e2802c4-a4d2-4d8b-9148-e3be6c30e623}">
          <xlrd:rvb i="810"/>
        </ext>
      </extLst>
    </bk>
    <bk>
      <extLst>
        <ext uri="{3e2802c4-a4d2-4d8b-9148-e3be6c30e623}">
          <xlrd:rvb i="811"/>
        </ext>
      </extLst>
    </bk>
    <bk>
      <extLst>
        <ext uri="{3e2802c4-a4d2-4d8b-9148-e3be6c30e623}">
          <xlrd:rvb i="812"/>
        </ext>
      </extLst>
    </bk>
    <bk>
      <extLst>
        <ext uri="{3e2802c4-a4d2-4d8b-9148-e3be6c30e623}">
          <xlrd:rvb i="813"/>
        </ext>
      </extLst>
    </bk>
    <bk>
      <extLst>
        <ext uri="{3e2802c4-a4d2-4d8b-9148-e3be6c30e623}">
          <xlrd:rvb i="814"/>
        </ext>
      </extLst>
    </bk>
    <bk>
      <extLst>
        <ext uri="{3e2802c4-a4d2-4d8b-9148-e3be6c30e623}">
          <xlrd:rvb i="815"/>
        </ext>
      </extLst>
    </bk>
    <bk>
      <extLst>
        <ext uri="{3e2802c4-a4d2-4d8b-9148-e3be6c30e623}">
          <xlrd:rvb i="816"/>
        </ext>
      </extLst>
    </bk>
    <bk>
      <extLst>
        <ext uri="{3e2802c4-a4d2-4d8b-9148-e3be6c30e623}">
          <xlrd:rvb i="817"/>
        </ext>
      </extLst>
    </bk>
    <bk>
      <extLst>
        <ext uri="{3e2802c4-a4d2-4d8b-9148-e3be6c30e623}">
          <xlrd:rvb i="818"/>
        </ext>
      </extLst>
    </bk>
    <bk>
      <extLst>
        <ext uri="{3e2802c4-a4d2-4d8b-9148-e3be6c30e623}">
          <xlrd:rvb i="819"/>
        </ext>
      </extLst>
    </bk>
    <bk>
      <extLst>
        <ext uri="{3e2802c4-a4d2-4d8b-9148-e3be6c30e623}">
          <xlrd:rvb i="820"/>
        </ext>
      </extLst>
    </bk>
    <bk>
      <extLst>
        <ext uri="{3e2802c4-a4d2-4d8b-9148-e3be6c30e623}">
          <xlrd:rvb i="821"/>
        </ext>
      </extLst>
    </bk>
    <bk>
      <extLst>
        <ext uri="{3e2802c4-a4d2-4d8b-9148-e3be6c30e623}">
          <xlrd:rvb i="822"/>
        </ext>
      </extLst>
    </bk>
    <bk>
      <extLst>
        <ext uri="{3e2802c4-a4d2-4d8b-9148-e3be6c30e623}">
          <xlrd:rvb i="823"/>
        </ext>
      </extLst>
    </bk>
    <bk>
      <extLst>
        <ext uri="{3e2802c4-a4d2-4d8b-9148-e3be6c30e623}">
          <xlrd:rvb i="824"/>
        </ext>
      </extLst>
    </bk>
    <bk>
      <extLst>
        <ext uri="{3e2802c4-a4d2-4d8b-9148-e3be6c30e623}">
          <xlrd:rvb i="825"/>
        </ext>
      </extLst>
    </bk>
    <bk>
      <extLst>
        <ext uri="{3e2802c4-a4d2-4d8b-9148-e3be6c30e623}">
          <xlrd:rvb i="826"/>
        </ext>
      </extLst>
    </bk>
    <bk>
      <extLst>
        <ext uri="{3e2802c4-a4d2-4d8b-9148-e3be6c30e623}">
          <xlrd:rvb i="827"/>
        </ext>
      </extLst>
    </bk>
    <bk>
      <extLst>
        <ext uri="{3e2802c4-a4d2-4d8b-9148-e3be6c30e623}">
          <xlrd:rvb i="828"/>
        </ext>
      </extLst>
    </bk>
    <bk>
      <extLst>
        <ext uri="{3e2802c4-a4d2-4d8b-9148-e3be6c30e623}">
          <xlrd:rvb i="829"/>
        </ext>
      </extLst>
    </bk>
    <bk>
      <extLst>
        <ext uri="{3e2802c4-a4d2-4d8b-9148-e3be6c30e623}">
          <xlrd:rvb i="830"/>
        </ext>
      </extLst>
    </bk>
    <bk>
      <extLst>
        <ext uri="{3e2802c4-a4d2-4d8b-9148-e3be6c30e623}">
          <xlrd:rvb i="831"/>
        </ext>
      </extLst>
    </bk>
    <bk>
      <extLst>
        <ext uri="{3e2802c4-a4d2-4d8b-9148-e3be6c30e623}">
          <xlrd:rvb i="832"/>
        </ext>
      </extLst>
    </bk>
    <bk>
      <extLst>
        <ext uri="{3e2802c4-a4d2-4d8b-9148-e3be6c30e623}">
          <xlrd:rvb i="833"/>
        </ext>
      </extLst>
    </bk>
    <bk>
      <extLst>
        <ext uri="{3e2802c4-a4d2-4d8b-9148-e3be6c30e623}">
          <xlrd:rvb i="834"/>
        </ext>
      </extLst>
    </bk>
    <bk>
      <extLst>
        <ext uri="{3e2802c4-a4d2-4d8b-9148-e3be6c30e623}">
          <xlrd:rvb i="835"/>
        </ext>
      </extLst>
    </bk>
    <bk>
      <extLst>
        <ext uri="{3e2802c4-a4d2-4d8b-9148-e3be6c30e623}">
          <xlrd:rvb i="836"/>
        </ext>
      </extLst>
    </bk>
    <bk>
      <extLst>
        <ext uri="{3e2802c4-a4d2-4d8b-9148-e3be6c30e623}">
          <xlrd:rvb i="837"/>
        </ext>
      </extLst>
    </bk>
    <bk>
      <extLst>
        <ext uri="{3e2802c4-a4d2-4d8b-9148-e3be6c30e623}">
          <xlrd:rvb i="838"/>
        </ext>
      </extLst>
    </bk>
    <bk>
      <extLst>
        <ext uri="{3e2802c4-a4d2-4d8b-9148-e3be6c30e623}">
          <xlrd:rvb i="839"/>
        </ext>
      </extLst>
    </bk>
    <bk>
      <extLst>
        <ext uri="{3e2802c4-a4d2-4d8b-9148-e3be6c30e623}">
          <xlrd:rvb i="840"/>
        </ext>
      </extLst>
    </bk>
    <bk>
      <extLst>
        <ext uri="{3e2802c4-a4d2-4d8b-9148-e3be6c30e623}">
          <xlrd:rvb i="841"/>
        </ext>
      </extLst>
    </bk>
    <bk>
      <extLst>
        <ext uri="{3e2802c4-a4d2-4d8b-9148-e3be6c30e623}">
          <xlrd:rvb i="842"/>
        </ext>
      </extLst>
    </bk>
    <bk>
      <extLst>
        <ext uri="{3e2802c4-a4d2-4d8b-9148-e3be6c30e623}">
          <xlrd:rvb i="843"/>
        </ext>
      </extLst>
    </bk>
    <bk>
      <extLst>
        <ext uri="{3e2802c4-a4d2-4d8b-9148-e3be6c30e623}">
          <xlrd:rvb i="844"/>
        </ext>
      </extLst>
    </bk>
    <bk>
      <extLst>
        <ext uri="{3e2802c4-a4d2-4d8b-9148-e3be6c30e623}">
          <xlrd:rvb i="845"/>
        </ext>
      </extLst>
    </bk>
    <bk>
      <extLst>
        <ext uri="{3e2802c4-a4d2-4d8b-9148-e3be6c30e623}">
          <xlrd:rvb i="846"/>
        </ext>
      </extLst>
    </bk>
    <bk>
      <extLst>
        <ext uri="{3e2802c4-a4d2-4d8b-9148-e3be6c30e623}">
          <xlrd:rvb i="847"/>
        </ext>
      </extLst>
    </bk>
    <bk>
      <extLst>
        <ext uri="{3e2802c4-a4d2-4d8b-9148-e3be6c30e623}">
          <xlrd:rvb i="848"/>
        </ext>
      </extLst>
    </bk>
    <bk>
      <extLst>
        <ext uri="{3e2802c4-a4d2-4d8b-9148-e3be6c30e623}">
          <xlrd:rvb i="849"/>
        </ext>
      </extLst>
    </bk>
    <bk>
      <extLst>
        <ext uri="{3e2802c4-a4d2-4d8b-9148-e3be6c30e623}">
          <xlrd:rvb i="850"/>
        </ext>
      </extLst>
    </bk>
    <bk>
      <extLst>
        <ext uri="{3e2802c4-a4d2-4d8b-9148-e3be6c30e623}">
          <xlrd:rvb i="851"/>
        </ext>
      </extLst>
    </bk>
    <bk>
      <extLst>
        <ext uri="{3e2802c4-a4d2-4d8b-9148-e3be6c30e623}">
          <xlrd:rvb i="852"/>
        </ext>
      </extLst>
    </bk>
    <bk>
      <extLst>
        <ext uri="{3e2802c4-a4d2-4d8b-9148-e3be6c30e623}">
          <xlrd:rvb i="853"/>
        </ext>
      </extLst>
    </bk>
    <bk>
      <extLst>
        <ext uri="{3e2802c4-a4d2-4d8b-9148-e3be6c30e623}">
          <xlrd:rvb i="854"/>
        </ext>
      </extLst>
    </bk>
    <bk>
      <extLst>
        <ext uri="{3e2802c4-a4d2-4d8b-9148-e3be6c30e623}">
          <xlrd:rvb i="855"/>
        </ext>
      </extLst>
    </bk>
    <bk>
      <extLst>
        <ext uri="{3e2802c4-a4d2-4d8b-9148-e3be6c30e623}">
          <xlrd:rvb i="856"/>
        </ext>
      </extLst>
    </bk>
    <bk>
      <extLst>
        <ext uri="{3e2802c4-a4d2-4d8b-9148-e3be6c30e623}">
          <xlrd:rvb i="857"/>
        </ext>
      </extLst>
    </bk>
    <bk>
      <extLst>
        <ext uri="{3e2802c4-a4d2-4d8b-9148-e3be6c30e623}">
          <xlrd:rvb i="858"/>
        </ext>
      </extLst>
    </bk>
    <bk>
      <extLst>
        <ext uri="{3e2802c4-a4d2-4d8b-9148-e3be6c30e623}">
          <xlrd:rvb i="859"/>
        </ext>
      </extLst>
    </bk>
    <bk>
      <extLst>
        <ext uri="{3e2802c4-a4d2-4d8b-9148-e3be6c30e623}">
          <xlrd:rvb i="860"/>
        </ext>
      </extLst>
    </bk>
    <bk>
      <extLst>
        <ext uri="{3e2802c4-a4d2-4d8b-9148-e3be6c30e623}">
          <xlrd:rvb i="861"/>
        </ext>
      </extLst>
    </bk>
    <bk>
      <extLst>
        <ext uri="{3e2802c4-a4d2-4d8b-9148-e3be6c30e623}">
          <xlrd:rvb i="862"/>
        </ext>
      </extLst>
    </bk>
    <bk>
      <extLst>
        <ext uri="{3e2802c4-a4d2-4d8b-9148-e3be6c30e623}">
          <xlrd:rvb i="863"/>
        </ext>
      </extLst>
    </bk>
    <bk>
      <extLst>
        <ext uri="{3e2802c4-a4d2-4d8b-9148-e3be6c30e623}">
          <xlrd:rvb i="864"/>
        </ext>
      </extLst>
    </bk>
    <bk>
      <extLst>
        <ext uri="{3e2802c4-a4d2-4d8b-9148-e3be6c30e623}">
          <xlrd:rvb i="865"/>
        </ext>
      </extLst>
    </bk>
    <bk>
      <extLst>
        <ext uri="{3e2802c4-a4d2-4d8b-9148-e3be6c30e623}">
          <xlrd:rvb i="866"/>
        </ext>
      </extLst>
    </bk>
    <bk>
      <extLst>
        <ext uri="{3e2802c4-a4d2-4d8b-9148-e3be6c30e623}">
          <xlrd:rvb i="867"/>
        </ext>
      </extLst>
    </bk>
    <bk>
      <extLst>
        <ext uri="{3e2802c4-a4d2-4d8b-9148-e3be6c30e623}">
          <xlrd:rvb i="868"/>
        </ext>
      </extLst>
    </bk>
    <bk>
      <extLst>
        <ext uri="{3e2802c4-a4d2-4d8b-9148-e3be6c30e623}">
          <xlrd:rvb i="869"/>
        </ext>
      </extLst>
    </bk>
    <bk>
      <extLst>
        <ext uri="{3e2802c4-a4d2-4d8b-9148-e3be6c30e623}">
          <xlrd:rvb i="870"/>
        </ext>
      </extLst>
    </bk>
    <bk>
      <extLst>
        <ext uri="{3e2802c4-a4d2-4d8b-9148-e3be6c30e623}">
          <xlrd:rvb i="871"/>
        </ext>
      </extLst>
    </bk>
    <bk>
      <extLst>
        <ext uri="{3e2802c4-a4d2-4d8b-9148-e3be6c30e623}">
          <xlrd:rvb i="872"/>
        </ext>
      </extLst>
    </bk>
    <bk>
      <extLst>
        <ext uri="{3e2802c4-a4d2-4d8b-9148-e3be6c30e623}">
          <xlrd:rvb i="873"/>
        </ext>
      </extLst>
    </bk>
    <bk>
      <extLst>
        <ext uri="{3e2802c4-a4d2-4d8b-9148-e3be6c30e623}">
          <xlrd:rvb i="874"/>
        </ext>
      </extLst>
    </bk>
    <bk>
      <extLst>
        <ext uri="{3e2802c4-a4d2-4d8b-9148-e3be6c30e623}">
          <xlrd:rvb i="875"/>
        </ext>
      </extLst>
    </bk>
    <bk>
      <extLst>
        <ext uri="{3e2802c4-a4d2-4d8b-9148-e3be6c30e623}">
          <xlrd:rvb i="876"/>
        </ext>
      </extLst>
    </bk>
    <bk>
      <extLst>
        <ext uri="{3e2802c4-a4d2-4d8b-9148-e3be6c30e623}">
          <xlrd:rvb i="877"/>
        </ext>
      </extLst>
    </bk>
    <bk>
      <extLst>
        <ext uri="{3e2802c4-a4d2-4d8b-9148-e3be6c30e623}">
          <xlrd:rvb i="878"/>
        </ext>
      </extLst>
    </bk>
    <bk>
      <extLst>
        <ext uri="{3e2802c4-a4d2-4d8b-9148-e3be6c30e623}">
          <xlrd:rvb i="879"/>
        </ext>
      </extLst>
    </bk>
    <bk>
      <extLst>
        <ext uri="{3e2802c4-a4d2-4d8b-9148-e3be6c30e623}">
          <xlrd:rvb i="880"/>
        </ext>
      </extLst>
    </bk>
    <bk>
      <extLst>
        <ext uri="{3e2802c4-a4d2-4d8b-9148-e3be6c30e623}">
          <xlrd:rvb i="881"/>
        </ext>
      </extLst>
    </bk>
    <bk>
      <extLst>
        <ext uri="{3e2802c4-a4d2-4d8b-9148-e3be6c30e623}">
          <xlrd:rvb i="882"/>
        </ext>
      </extLst>
    </bk>
    <bk>
      <extLst>
        <ext uri="{3e2802c4-a4d2-4d8b-9148-e3be6c30e623}">
          <xlrd:rvb i="883"/>
        </ext>
      </extLst>
    </bk>
    <bk>
      <extLst>
        <ext uri="{3e2802c4-a4d2-4d8b-9148-e3be6c30e623}">
          <xlrd:rvb i="884"/>
        </ext>
      </extLst>
    </bk>
    <bk>
      <extLst>
        <ext uri="{3e2802c4-a4d2-4d8b-9148-e3be6c30e623}">
          <xlrd:rvb i="885"/>
        </ext>
      </extLst>
    </bk>
    <bk>
      <extLst>
        <ext uri="{3e2802c4-a4d2-4d8b-9148-e3be6c30e623}">
          <xlrd:rvb i="886"/>
        </ext>
      </extLst>
    </bk>
    <bk>
      <extLst>
        <ext uri="{3e2802c4-a4d2-4d8b-9148-e3be6c30e623}">
          <xlrd:rvb i="887"/>
        </ext>
      </extLst>
    </bk>
    <bk>
      <extLst>
        <ext uri="{3e2802c4-a4d2-4d8b-9148-e3be6c30e623}">
          <xlrd:rvb i="888"/>
        </ext>
      </extLst>
    </bk>
    <bk>
      <extLst>
        <ext uri="{3e2802c4-a4d2-4d8b-9148-e3be6c30e623}">
          <xlrd:rvb i="889"/>
        </ext>
      </extLst>
    </bk>
    <bk>
      <extLst>
        <ext uri="{3e2802c4-a4d2-4d8b-9148-e3be6c30e623}">
          <xlrd:rvb i="890"/>
        </ext>
      </extLst>
    </bk>
    <bk>
      <extLst>
        <ext uri="{3e2802c4-a4d2-4d8b-9148-e3be6c30e623}">
          <xlrd:rvb i="891"/>
        </ext>
      </extLst>
    </bk>
    <bk>
      <extLst>
        <ext uri="{3e2802c4-a4d2-4d8b-9148-e3be6c30e623}">
          <xlrd:rvb i="892"/>
        </ext>
      </extLst>
    </bk>
    <bk>
      <extLst>
        <ext uri="{3e2802c4-a4d2-4d8b-9148-e3be6c30e623}">
          <xlrd:rvb i="893"/>
        </ext>
      </extLst>
    </bk>
    <bk>
      <extLst>
        <ext uri="{3e2802c4-a4d2-4d8b-9148-e3be6c30e623}">
          <xlrd:rvb i="894"/>
        </ext>
      </extLst>
    </bk>
    <bk>
      <extLst>
        <ext uri="{3e2802c4-a4d2-4d8b-9148-e3be6c30e623}">
          <xlrd:rvb i="895"/>
        </ext>
      </extLst>
    </bk>
    <bk>
      <extLst>
        <ext uri="{3e2802c4-a4d2-4d8b-9148-e3be6c30e623}">
          <xlrd:rvb i="896"/>
        </ext>
      </extLst>
    </bk>
    <bk>
      <extLst>
        <ext uri="{3e2802c4-a4d2-4d8b-9148-e3be6c30e623}">
          <xlrd:rvb i="897"/>
        </ext>
      </extLst>
    </bk>
    <bk>
      <extLst>
        <ext uri="{3e2802c4-a4d2-4d8b-9148-e3be6c30e623}">
          <xlrd:rvb i="898"/>
        </ext>
      </extLst>
    </bk>
    <bk>
      <extLst>
        <ext uri="{3e2802c4-a4d2-4d8b-9148-e3be6c30e623}">
          <xlrd:rvb i="899"/>
        </ext>
      </extLst>
    </bk>
    <bk>
      <extLst>
        <ext uri="{3e2802c4-a4d2-4d8b-9148-e3be6c30e623}">
          <xlrd:rvb i="900"/>
        </ext>
      </extLst>
    </bk>
    <bk>
      <extLst>
        <ext uri="{3e2802c4-a4d2-4d8b-9148-e3be6c30e623}">
          <xlrd:rvb i="901"/>
        </ext>
      </extLst>
    </bk>
    <bk>
      <extLst>
        <ext uri="{3e2802c4-a4d2-4d8b-9148-e3be6c30e623}">
          <xlrd:rvb i="902"/>
        </ext>
      </extLst>
    </bk>
    <bk>
      <extLst>
        <ext uri="{3e2802c4-a4d2-4d8b-9148-e3be6c30e623}">
          <xlrd:rvb i="903"/>
        </ext>
      </extLst>
    </bk>
    <bk>
      <extLst>
        <ext uri="{3e2802c4-a4d2-4d8b-9148-e3be6c30e623}">
          <xlrd:rvb i="904"/>
        </ext>
      </extLst>
    </bk>
    <bk>
      <extLst>
        <ext uri="{3e2802c4-a4d2-4d8b-9148-e3be6c30e623}">
          <xlrd:rvb i="905"/>
        </ext>
      </extLst>
    </bk>
    <bk>
      <extLst>
        <ext uri="{3e2802c4-a4d2-4d8b-9148-e3be6c30e623}">
          <xlrd:rvb i="906"/>
        </ext>
      </extLst>
    </bk>
    <bk>
      <extLst>
        <ext uri="{3e2802c4-a4d2-4d8b-9148-e3be6c30e623}">
          <xlrd:rvb i="907"/>
        </ext>
      </extLst>
    </bk>
    <bk>
      <extLst>
        <ext uri="{3e2802c4-a4d2-4d8b-9148-e3be6c30e623}">
          <xlrd:rvb i="908"/>
        </ext>
      </extLst>
    </bk>
    <bk>
      <extLst>
        <ext uri="{3e2802c4-a4d2-4d8b-9148-e3be6c30e623}">
          <xlrd:rvb i="909"/>
        </ext>
      </extLst>
    </bk>
    <bk>
      <extLst>
        <ext uri="{3e2802c4-a4d2-4d8b-9148-e3be6c30e623}">
          <xlrd:rvb i="910"/>
        </ext>
      </extLst>
    </bk>
    <bk>
      <extLst>
        <ext uri="{3e2802c4-a4d2-4d8b-9148-e3be6c30e623}">
          <xlrd:rvb i="911"/>
        </ext>
      </extLst>
    </bk>
    <bk>
      <extLst>
        <ext uri="{3e2802c4-a4d2-4d8b-9148-e3be6c30e623}">
          <xlrd:rvb i="912"/>
        </ext>
      </extLst>
    </bk>
    <bk>
      <extLst>
        <ext uri="{3e2802c4-a4d2-4d8b-9148-e3be6c30e623}">
          <xlrd:rvb i="913"/>
        </ext>
      </extLst>
    </bk>
    <bk>
      <extLst>
        <ext uri="{3e2802c4-a4d2-4d8b-9148-e3be6c30e623}">
          <xlrd:rvb i="914"/>
        </ext>
      </extLst>
    </bk>
    <bk>
      <extLst>
        <ext uri="{3e2802c4-a4d2-4d8b-9148-e3be6c30e623}">
          <xlrd:rvb i="915"/>
        </ext>
      </extLst>
    </bk>
    <bk>
      <extLst>
        <ext uri="{3e2802c4-a4d2-4d8b-9148-e3be6c30e623}">
          <xlrd:rvb i="916"/>
        </ext>
      </extLst>
    </bk>
    <bk>
      <extLst>
        <ext uri="{3e2802c4-a4d2-4d8b-9148-e3be6c30e623}">
          <xlrd:rvb i="917"/>
        </ext>
      </extLst>
    </bk>
    <bk>
      <extLst>
        <ext uri="{3e2802c4-a4d2-4d8b-9148-e3be6c30e623}">
          <xlrd:rvb i="918"/>
        </ext>
      </extLst>
    </bk>
    <bk>
      <extLst>
        <ext uri="{3e2802c4-a4d2-4d8b-9148-e3be6c30e623}">
          <xlrd:rvb i="919"/>
        </ext>
      </extLst>
    </bk>
    <bk>
      <extLst>
        <ext uri="{3e2802c4-a4d2-4d8b-9148-e3be6c30e623}">
          <xlrd:rvb i="920"/>
        </ext>
      </extLst>
    </bk>
    <bk>
      <extLst>
        <ext uri="{3e2802c4-a4d2-4d8b-9148-e3be6c30e623}">
          <xlrd:rvb i="921"/>
        </ext>
      </extLst>
    </bk>
    <bk>
      <extLst>
        <ext uri="{3e2802c4-a4d2-4d8b-9148-e3be6c30e623}">
          <xlrd:rvb i="922"/>
        </ext>
      </extLst>
    </bk>
    <bk>
      <extLst>
        <ext uri="{3e2802c4-a4d2-4d8b-9148-e3be6c30e623}">
          <xlrd:rvb i="923"/>
        </ext>
      </extLst>
    </bk>
    <bk>
      <extLst>
        <ext uri="{3e2802c4-a4d2-4d8b-9148-e3be6c30e623}">
          <xlrd:rvb i="924"/>
        </ext>
      </extLst>
    </bk>
    <bk>
      <extLst>
        <ext uri="{3e2802c4-a4d2-4d8b-9148-e3be6c30e623}">
          <xlrd:rvb i="925"/>
        </ext>
      </extLst>
    </bk>
    <bk>
      <extLst>
        <ext uri="{3e2802c4-a4d2-4d8b-9148-e3be6c30e623}">
          <xlrd:rvb i="926"/>
        </ext>
      </extLst>
    </bk>
    <bk>
      <extLst>
        <ext uri="{3e2802c4-a4d2-4d8b-9148-e3be6c30e623}">
          <xlrd:rvb i="927"/>
        </ext>
      </extLst>
    </bk>
    <bk>
      <extLst>
        <ext uri="{3e2802c4-a4d2-4d8b-9148-e3be6c30e623}">
          <xlrd:rvb i="928"/>
        </ext>
      </extLst>
    </bk>
    <bk>
      <extLst>
        <ext uri="{3e2802c4-a4d2-4d8b-9148-e3be6c30e623}">
          <xlrd:rvb i="929"/>
        </ext>
      </extLst>
    </bk>
    <bk>
      <extLst>
        <ext uri="{3e2802c4-a4d2-4d8b-9148-e3be6c30e623}">
          <xlrd:rvb i="930"/>
        </ext>
      </extLst>
    </bk>
    <bk>
      <extLst>
        <ext uri="{3e2802c4-a4d2-4d8b-9148-e3be6c30e623}">
          <xlrd:rvb i="931"/>
        </ext>
      </extLst>
    </bk>
    <bk>
      <extLst>
        <ext uri="{3e2802c4-a4d2-4d8b-9148-e3be6c30e623}">
          <xlrd:rvb i="932"/>
        </ext>
      </extLst>
    </bk>
    <bk>
      <extLst>
        <ext uri="{3e2802c4-a4d2-4d8b-9148-e3be6c30e623}">
          <xlrd:rvb i="933"/>
        </ext>
      </extLst>
    </bk>
    <bk>
      <extLst>
        <ext uri="{3e2802c4-a4d2-4d8b-9148-e3be6c30e623}">
          <xlrd:rvb i="934"/>
        </ext>
      </extLst>
    </bk>
    <bk>
      <extLst>
        <ext uri="{3e2802c4-a4d2-4d8b-9148-e3be6c30e623}">
          <xlrd:rvb i="935"/>
        </ext>
      </extLst>
    </bk>
    <bk>
      <extLst>
        <ext uri="{3e2802c4-a4d2-4d8b-9148-e3be6c30e623}">
          <xlrd:rvb i="936"/>
        </ext>
      </extLst>
    </bk>
    <bk>
      <extLst>
        <ext uri="{3e2802c4-a4d2-4d8b-9148-e3be6c30e623}">
          <xlrd:rvb i="937"/>
        </ext>
      </extLst>
    </bk>
    <bk>
      <extLst>
        <ext uri="{3e2802c4-a4d2-4d8b-9148-e3be6c30e623}">
          <xlrd:rvb i="938"/>
        </ext>
      </extLst>
    </bk>
    <bk>
      <extLst>
        <ext uri="{3e2802c4-a4d2-4d8b-9148-e3be6c30e623}">
          <xlrd:rvb i="939"/>
        </ext>
      </extLst>
    </bk>
    <bk>
      <extLst>
        <ext uri="{3e2802c4-a4d2-4d8b-9148-e3be6c30e623}">
          <xlrd:rvb i="940"/>
        </ext>
      </extLst>
    </bk>
    <bk>
      <extLst>
        <ext uri="{3e2802c4-a4d2-4d8b-9148-e3be6c30e623}">
          <xlrd:rvb i="941"/>
        </ext>
      </extLst>
    </bk>
    <bk>
      <extLst>
        <ext uri="{3e2802c4-a4d2-4d8b-9148-e3be6c30e623}">
          <xlrd:rvb i="942"/>
        </ext>
      </extLst>
    </bk>
    <bk>
      <extLst>
        <ext uri="{3e2802c4-a4d2-4d8b-9148-e3be6c30e623}">
          <xlrd:rvb i="943"/>
        </ext>
      </extLst>
    </bk>
    <bk>
      <extLst>
        <ext uri="{3e2802c4-a4d2-4d8b-9148-e3be6c30e623}">
          <xlrd:rvb i="944"/>
        </ext>
      </extLst>
    </bk>
    <bk>
      <extLst>
        <ext uri="{3e2802c4-a4d2-4d8b-9148-e3be6c30e623}">
          <xlrd:rvb i="945"/>
        </ext>
      </extLst>
    </bk>
    <bk>
      <extLst>
        <ext uri="{3e2802c4-a4d2-4d8b-9148-e3be6c30e623}">
          <xlrd:rvb i="946"/>
        </ext>
      </extLst>
    </bk>
    <bk>
      <extLst>
        <ext uri="{3e2802c4-a4d2-4d8b-9148-e3be6c30e623}">
          <xlrd:rvb i="947"/>
        </ext>
      </extLst>
    </bk>
    <bk>
      <extLst>
        <ext uri="{3e2802c4-a4d2-4d8b-9148-e3be6c30e623}">
          <xlrd:rvb i="948"/>
        </ext>
      </extLst>
    </bk>
    <bk>
      <extLst>
        <ext uri="{3e2802c4-a4d2-4d8b-9148-e3be6c30e623}">
          <xlrd:rvb i="949"/>
        </ext>
      </extLst>
    </bk>
    <bk>
      <extLst>
        <ext uri="{3e2802c4-a4d2-4d8b-9148-e3be6c30e623}">
          <xlrd:rvb i="950"/>
        </ext>
      </extLst>
    </bk>
    <bk>
      <extLst>
        <ext uri="{3e2802c4-a4d2-4d8b-9148-e3be6c30e623}">
          <xlrd:rvb i="951"/>
        </ext>
      </extLst>
    </bk>
    <bk>
      <extLst>
        <ext uri="{3e2802c4-a4d2-4d8b-9148-e3be6c30e623}">
          <xlrd:rvb i="952"/>
        </ext>
      </extLst>
    </bk>
    <bk>
      <extLst>
        <ext uri="{3e2802c4-a4d2-4d8b-9148-e3be6c30e623}">
          <xlrd:rvb i="953"/>
        </ext>
      </extLst>
    </bk>
    <bk>
      <extLst>
        <ext uri="{3e2802c4-a4d2-4d8b-9148-e3be6c30e623}">
          <xlrd:rvb i="954"/>
        </ext>
      </extLst>
    </bk>
    <bk>
      <extLst>
        <ext uri="{3e2802c4-a4d2-4d8b-9148-e3be6c30e623}">
          <xlrd:rvb i="955"/>
        </ext>
      </extLst>
    </bk>
    <bk>
      <extLst>
        <ext uri="{3e2802c4-a4d2-4d8b-9148-e3be6c30e623}">
          <xlrd:rvb i="956"/>
        </ext>
      </extLst>
    </bk>
    <bk>
      <extLst>
        <ext uri="{3e2802c4-a4d2-4d8b-9148-e3be6c30e623}">
          <xlrd:rvb i="957"/>
        </ext>
      </extLst>
    </bk>
    <bk>
      <extLst>
        <ext uri="{3e2802c4-a4d2-4d8b-9148-e3be6c30e623}">
          <xlrd:rvb i="958"/>
        </ext>
      </extLst>
    </bk>
    <bk>
      <extLst>
        <ext uri="{3e2802c4-a4d2-4d8b-9148-e3be6c30e623}">
          <xlrd:rvb i="959"/>
        </ext>
      </extLst>
    </bk>
    <bk>
      <extLst>
        <ext uri="{3e2802c4-a4d2-4d8b-9148-e3be6c30e623}">
          <xlrd:rvb i="960"/>
        </ext>
      </extLst>
    </bk>
    <bk>
      <extLst>
        <ext uri="{3e2802c4-a4d2-4d8b-9148-e3be6c30e623}">
          <xlrd:rvb i="961"/>
        </ext>
      </extLst>
    </bk>
    <bk>
      <extLst>
        <ext uri="{3e2802c4-a4d2-4d8b-9148-e3be6c30e623}">
          <xlrd:rvb i="962"/>
        </ext>
      </extLst>
    </bk>
    <bk>
      <extLst>
        <ext uri="{3e2802c4-a4d2-4d8b-9148-e3be6c30e623}">
          <xlrd:rvb i="963"/>
        </ext>
      </extLst>
    </bk>
    <bk>
      <extLst>
        <ext uri="{3e2802c4-a4d2-4d8b-9148-e3be6c30e623}">
          <xlrd:rvb i="964"/>
        </ext>
      </extLst>
    </bk>
    <bk>
      <extLst>
        <ext uri="{3e2802c4-a4d2-4d8b-9148-e3be6c30e623}">
          <xlrd:rvb i="965"/>
        </ext>
      </extLst>
    </bk>
    <bk>
      <extLst>
        <ext uri="{3e2802c4-a4d2-4d8b-9148-e3be6c30e623}">
          <xlrd:rvb i="966"/>
        </ext>
      </extLst>
    </bk>
    <bk>
      <extLst>
        <ext uri="{3e2802c4-a4d2-4d8b-9148-e3be6c30e623}">
          <xlrd:rvb i="967"/>
        </ext>
      </extLst>
    </bk>
    <bk>
      <extLst>
        <ext uri="{3e2802c4-a4d2-4d8b-9148-e3be6c30e623}">
          <xlrd:rvb i="968"/>
        </ext>
      </extLst>
    </bk>
    <bk>
      <extLst>
        <ext uri="{3e2802c4-a4d2-4d8b-9148-e3be6c30e623}">
          <xlrd:rvb i="969"/>
        </ext>
      </extLst>
    </bk>
    <bk>
      <extLst>
        <ext uri="{3e2802c4-a4d2-4d8b-9148-e3be6c30e623}">
          <xlrd:rvb i="970"/>
        </ext>
      </extLst>
    </bk>
    <bk>
      <extLst>
        <ext uri="{3e2802c4-a4d2-4d8b-9148-e3be6c30e623}">
          <xlrd:rvb i="971"/>
        </ext>
      </extLst>
    </bk>
    <bk>
      <extLst>
        <ext uri="{3e2802c4-a4d2-4d8b-9148-e3be6c30e623}">
          <xlrd:rvb i="972"/>
        </ext>
      </extLst>
    </bk>
    <bk>
      <extLst>
        <ext uri="{3e2802c4-a4d2-4d8b-9148-e3be6c30e623}">
          <xlrd:rvb i="973"/>
        </ext>
      </extLst>
    </bk>
    <bk>
      <extLst>
        <ext uri="{3e2802c4-a4d2-4d8b-9148-e3be6c30e623}">
          <xlrd:rvb i="974"/>
        </ext>
      </extLst>
    </bk>
    <bk>
      <extLst>
        <ext uri="{3e2802c4-a4d2-4d8b-9148-e3be6c30e623}">
          <xlrd:rvb i="975"/>
        </ext>
      </extLst>
    </bk>
    <bk>
      <extLst>
        <ext uri="{3e2802c4-a4d2-4d8b-9148-e3be6c30e623}">
          <xlrd:rvb i="976"/>
        </ext>
      </extLst>
    </bk>
    <bk>
      <extLst>
        <ext uri="{3e2802c4-a4d2-4d8b-9148-e3be6c30e623}">
          <xlrd:rvb i="977"/>
        </ext>
      </extLst>
    </bk>
    <bk>
      <extLst>
        <ext uri="{3e2802c4-a4d2-4d8b-9148-e3be6c30e623}">
          <xlrd:rvb i="978"/>
        </ext>
      </extLst>
    </bk>
    <bk>
      <extLst>
        <ext uri="{3e2802c4-a4d2-4d8b-9148-e3be6c30e623}">
          <xlrd:rvb i="979"/>
        </ext>
      </extLst>
    </bk>
    <bk>
      <extLst>
        <ext uri="{3e2802c4-a4d2-4d8b-9148-e3be6c30e623}">
          <xlrd:rvb i="980"/>
        </ext>
      </extLst>
    </bk>
    <bk>
      <extLst>
        <ext uri="{3e2802c4-a4d2-4d8b-9148-e3be6c30e623}">
          <xlrd:rvb i="981"/>
        </ext>
      </extLst>
    </bk>
    <bk>
      <extLst>
        <ext uri="{3e2802c4-a4d2-4d8b-9148-e3be6c30e623}">
          <xlrd:rvb i="982"/>
        </ext>
      </extLst>
    </bk>
    <bk>
      <extLst>
        <ext uri="{3e2802c4-a4d2-4d8b-9148-e3be6c30e623}">
          <xlrd:rvb i="983"/>
        </ext>
      </extLst>
    </bk>
    <bk>
      <extLst>
        <ext uri="{3e2802c4-a4d2-4d8b-9148-e3be6c30e623}">
          <xlrd:rvb i="984"/>
        </ext>
      </extLst>
    </bk>
    <bk>
      <extLst>
        <ext uri="{3e2802c4-a4d2-4d8b-9148-e3be6c30e623}">
          <xlrd:rvb i="985"/>
        </ext>
      </extLst>
    </bk>
    <bk>
      <extLst>
        <ext uri="{3e2802c4-a4d2-4d8b-9148-e3be6c30e623}">
          <xlrd:rvb i="986"/>
        </ext>
      </extLst>
    </bk>
    <bk>
      <extLst>
        <ext uri="{3e2802c4-a4d2-4d8b-9148-e3be6c30e623}">
          <xlrd:rvb i="987"/>
        </ext>
      </extLst>
    </bk>
    <bk>
      <extLst>
        <ext uri="{3e2802c4-a4d2-4d8b-9148-e3be6c30e623}">
          <xlrd:rvb i="988"/>
        </ext>
      </extLst>
    </bk>
    <bk>
      <extLst>
        <ext uri="{3e2802c4-a4d2-4d8b-9148-e3be6c30e623}">
          <xlrd:rvb i="989"/>
        </ext>
      </extLst>
    </bk>
    <bk>
      <extLst>
        <ext uri="{3e2802c4-a4d2-4d8b-9148-e3be6c30e623}">
          <xlrd:rvb i="990"/>
        </ext>
      </extLst>
    </bk>
    <bk>
      <extLst>
        <ext uri="{3e2802c4-a4d2-4d8b-9148-e3be6c30e623}">
          <xlrd:rvb i="991"/>
        </ext>
      </extLst>
    </bk>
    <bk>
      <extLst>
        <ext uri="{3e2802c4-a4d2-4d8b-9148-e3be6c30e623}">
          <xlrd:rvb i="992"/>
        </ext>
      </extLst>
    </bk>
    <bk>
      <extLst>
        <ext uri="{3e2802c4-a4d2-4d8b-9148-e3be6c30e623}">
          <xlrd:rvb i="993"/>
        </ext>
      </extLst>
    </bk>
    <bk>
      <extLst>
        <ext uri="{3e2802c4-a4d2-4d8b-9148-e3be6c30e623}">
          <xlrd:rvb i="994"/>
        </ext>
      </extLst>
    </bk>
    <bk>
      <extLst>
        <ext uri="{3e2802c4-a4d2-4d8b-9148-e3be6c30e623}">
          <xlrd:rvb i="995"/>
        </ext>
      </extLst>
    </bk>
    <bk>
      <extLst>
        <ext uri="{3e2802c4-a4d2-4d8b-9148-e3be6c30e623}">
          <xlrd:rvb i="996"/>
        </ext>
      </extLst>
    </bk>
    <bk>
      <extLst>
        <ext uri="{3e2802c4-a4d2-4d8b-9148-e3be6c30e623}">
          <xlrd:rvb i="997"/>
        </ext>
      </extLst>
    </bk>
    <bk>
      <extLst>
        <ext uri="{3e2802c4-a4d2-4d8b-9148-e3be6c30e623}">
          <xlrd:rvb i="998"/>
        </ext>
      </extLst>
    </bk>
    <bk>
      <extLst>
        <ext uri="{3e2802c4-a4d2-4d8b-9148-e3be6c30e623}">
          <xlrd:rvb i="999"/>
        </ext>
      </extLst>
    </bk>
    <bk>
      <extLst>
        <ext uri="{3e2802c4-a4d2-4d8b-9148-e3be6c30e623}">
          <xlrd:rvb i="1000"/>
        </ext>
      </extLst>
    </bk>
    <bk>
      <extLst>
        <ext uri="{3e2802c4-a4d2-4d8b-9148-e3be6c30e623}">
          <xlrd:rvb i="1001"/>
        </ext>
      </extLst>
    </bk>
    <bk>
      <extLst>
        <ext uri="{3e2802c4-a4d2-4d8b-9148-e3be6c30e623}">
          <xlrd:rvb i="1002"/>
        </ext>
      </extLst>
    </bk>
    <bk>
      <extLst>
        <ext uri="{3e2802c4-a4d2-4d8b-9148-e3be6c30e623}">
          <xlrd:rvb i="1003"/>
        </ext>
      </extLst>
    </bk>
    <bk>
      <extLst>
        <ext uri="{3e2802c4-a4d2-4d8b-9148-e3be6c30e623}">
          <xlrd:rvb i="1004"/>
        </ext>
      </extLst>
    </bk>
    <bk>
      <extLst>
        <ext uri="{3e2802c4-a4d2-4d8b-9148-e3be6c30e623}">
          <xlrd:rvb i="1005"/>
        </ext>
      </extLst>
    </bk>
    <bk>
      <extLst>
        <ext uri="{3e2802c4-a4d2-4d8b-9148-e3be6c30e623}">
          <xlrd:rvb i="1006"/>
        </ext>
      </extLst>
    </bk>
    <bk>
      <extLst>
        <ext uri="{3e2802c4-a4d2-4d8b-9148-e3be6c30e623}">
          <xlrd:rvb i="1007"/>
        </ext>
      </extLst>
    </bk>
    <bk>
      <extLst>
        <ext uri="{3e2802c4-a4d2-4d8b-9148-e3be6c30e623}">
          <xlrd:rvb i="1008"/>
        </ext>
      </extLst>
    </bk>
    <bk>
      <extLst>
        <ext uri="{3e2802c4-a4d2-4d8b-9148-e3be6c30e623}">
          <xlrd:rvb i="1009"/>
        </ext>
      </extLst>
    </bk>
    <bk>
      <extLst>
        <ext uri="{3e2802c4-a4d2-4d8b-9148-e3be6c30e623}">
          <xlrd:rvb i="1010"/>
        </ext>
      </extLst>
    </bk>
    <bk>
      <extLst>
        <ext uri="{3e2802c4-a4d2-4d8b-9148-e3be6c30e623}">
          <xlrd:rvb i="1011"/>
        </ext>
      </extLst>
    </bk>
    <bk>
      <extLst>
        <ext uri="{3e2802c4-a4d2-4d8b-9148-e3be6c30e623}">
          <xlrd:rvb i="1012"/>
        </ext>
      </extLst>
    </bk>
    <bk>
      <extLst>
        <ext uri="{3e2802c4-a4d2-4d8b-9148-e3be6c30e623}">
          <xlrd:rvb i="1013"/>
        </ext>
      </extLst>
    </bk>
    <bk>
      <extLst>
        <ext uri="{3e2802c4-a4d2-4d8b-9148-e3be6c30e623}">
          <xlrd:rvb i="1014"/>
        </ext>
      </extLst>
    </bk>
    <bk>
      <extLst>
        <ext uri="{3e2802c4-a4d2-4d8b-9148-e3be6c30e623}">
          <xlrd:rvb i="1015"/>
        </ext>
      </extLst>
    </bk>
    <bk>
      <extLst>
        <ext uri="{3e2802c4-a4d2-4d8b-9148-e3be6c30e623}">
          <xlrd:rvb i="1016"/>
        </ext>
      </extLst>
    </bk>
    <bk>
      <extLst>
        <ext uri="{3e2802c4-a4d2-4d8b-9148-e3be6c30e623}">
          <xlrd:rvb i="1017"/>
        </ext>
      </extLst>
    </bk>
    <bk>
      <extLst>
        <ext uri="{3e2802c4-a4d2-4d8b-9148-e3be6c30e623}">
          <xlrd:rvb i="1018"/>
        </ext>
      </extLst>
    </bk>
    <bk>
      <extLst>
        <ext uri="{3e2802c4-a4d2-4d8b-9148-e3be6c30e623}">
          <xlrd:rvb i="1019"/>
        </ext>
      </extLst>
    </bk>
    <bk>
      <extLst>
        <ext uri="{3e2802c4-a4d2-4d8b-9148-e3be6c30e623}">
          <xlrd:rvb i="1020"/>
        </ext>
      </extLst>
    </bk>
    <bk>
      <extLst>
        <ext uri="{3e2802c4-a4d2-4d8b-9148-e3be6c30e623}">
          <xlrd:rvb i="1021"/>
        </ext>
      </extLst>
    </bk>
    <bk>
      <extLst>
        <ext uri="{3e2802c4-a4d2-4d8b-9148-e3be6c30e623}">
          <xlrd:rvb i="1022"/>
        </ext>
      </extLst>
    </bk>
    <bk>
      <extLst>
        <ext uri="{3e2802c4-a4d2-4d8b-9148-e3be6c30e623}">
          <xlrd:rvb i="1023"/>
        </ext>
      </extLst>
    </bk>
    <bk>
      <extLst>
        <ext uri="{3e2802c4-a4d2-4d8b-9148-e3be6c30e623}">
          <xlrd:rvb i="1024"/>
        </ext>
      </extLst>
    </bk>
    <bk>
      <extLst>
        <ext uri="{3e2802c4-a4d2-4d8b-9148-e3be6c30e623}">
          <xlrd:rvb i="1025"/>
        </ext>
      </extLst>
    </bk>
    <bk>
      <extLst>
        <ext uri="{3e2802c4-a4d2-4d8b-9148-e3be6c30e623}">
          <xlrd:rvb i="1026"/>
        </ext>
      </extLst>
    </bk>
    <bk>
      <extLst>
        <ext uri="{3e2802c4-a4d2-4d8b-9148-e3be6c30e623}">
          <xlrd:rvb i="1027"/>
        </ext>
      </extLst>
    </bk>
    <bk>
      <extLst>
        <ext uri="{3e2802c4-a4d2-4d8b-9148-e3be6c30e623}">
          <xlrd:rvb i="1028"/>
        </ext>
      </extLst>
    </bk>
    <bk>
      <extLst>
        <ext uri="{3e2802c4-a4d2-4d8b-9148-e3be6c30e623}">
          <xlrd:rvb i="1029"/>
        </ext>
      </extLst>
    </bk>
    <bk>
      <extLst>
        <ext uri="{3e2802c4-a4d2-4d8b-9148-e3be6c30e623}">
          <xlrd:rvb i="1030"/>
        </ext>
      </extLst>
    </bk>
    <bk>
      <extLst>
        <ext uri="{3e2802c4-a4d2-4d8b-9148-e3be6c30e623}">
          <xlrd:rvb i="1031"/>
        </ext>
      </extLst>
    </bk>
    <bk>
      <extLst>
        <ext uri="{3e2802c4-a4d2-4d8b-9148-e3be6c30e623}">
          <xlrd:rvb i="1032"/>
        </ext>
      </extLst>
    </bk>
    <bk>
      <extLst>
        <ext uri="{3e2802c4-a4d2-4d8b-9148-e3be6c30e623}">
          <xlrd:rvb i="1033"/>
        </ext>
      </extLst>
    </bk>
    <bk>
      <extLst>
        <ext uri="{3e2802c4-a4d2-4d8b-9148-e3be6c30e623}">
          <xlrd:rvb i="1034"/>
        </ext>
      </extLst>
    </bk>
    <bk>
      <extLst>
        <ext uri="{3e2802c4-a4d2-4d8b-9148-e3be6c30e623}">
          <xlrd:rvb i="1035"/>
        </ext>
      </extLst>
    </bk>
    <bk>
      <extLst>
        <ext uri="{3e2802c4-a4d2-4d8b-9148-e3be6c30e623}">
          <xlrd:rvb i="1036"/>
        </ext>
      </extLst>
    </bk>
    <bk>
      <extLst>
        <ext uri="{3e2802c4-a4d2-4d8b-9148-e3be6c30e623}">
          <xlrd:rvb i="1037"/>
        </ext>
      </extLst>
    </bk>
    <bk>
      <extLst>
        <ext uri="{3e2802c4-a4d2-4d8b-9148-e3be6c30e623}">
          <xlrd:rvb i="1038"/>
        </ext>
      </extLst>
    </bk>
    <bk>
      <extLst>
        <ext uri="{3e2802c4-a4d2-4d8b-9148-e3be6c30e623}">
          <xlrd:rvb i="1039"/>
        </ext>
      </extLst>
    </bk>
    <bk>
      <extLst>
        <ext uri="{3e2802c4-a4d2-4d8b-9148-e3be6c30e623}">
          <xlrd:rvb i="1040"/>
        </ext>
      </extLst>
    </bk>
    <bk>
      <extLst>
        <ext uri="{3e2802c4-a4d2-4d8b-9148-e3be6c30e623}">
          <xlrd:rvb i="1041"/>
        </ext>
      </extLst>
    </bk>
    <bk>
      <extLst>
        <ext uri="{3e2802c4-a4d2-4d8b-9148-e3be6c30e623}">
          <xlrd:rvb i="1042"/>
        </ext>
      </extLst>
    </bk>
    <bk>
      <extLst>
        <ext uri="{3e2802c4-a4d2-4d8b-9148-e3be6c30e623}">
          <xlrd:rvb i="1043"/>
        </ext>
      </extLst>
    </bk>
    <bk>
      <extLst>
        <ext uri="{3e2802c4-a4d2-4d8b-9148-e3be6c30e623}">
          <xlrd:rvb i="1044"/>
        </ext>
      </extLst>
    </bk>
    <bk>
      <extLst>
        <ext uri="{3e2802c4-a4d2-4d8b-9148-e3be6c30e623}">
          <xlrd:rvb i="1045"/>
        </ext>
      </extLst>
    </bk>
    <bk>
      <extLst>
        <ext uri="{3e2802c4-a4d2-4d8b-9148-e3be6c30e623}">
          <xlrd:rvb i="1046"/>
        </ext>
      </extLst>
    </bk>
    <bk>
      <extLst>
        <ext uri="{3e2802c4-a4d2-4d8b-9148-e3be6c30e623}">
          <xlrd:rvb i="1047"/>
        </ext>
      </extLst>
    </bk>
    <bk>
      <extLst>
        <ext uri="{3e2802c4-a4d2-4d8b-9148-e3be6c30e623}">
          <xlrd:rvb i="1048"/>
        </ext>
      </extLst>
    </bk>
    <bk>
      <extLst>
        <ext uri="{3e2802c4-a4d2-4d8b-9148-e3be6c30e623}">
          <xlrd:rvb i="1049"/>
        </ext>
      </extLst>
    </bk>
    <bk>
      <extLst>
        <ext uri="{3e2802c4-a4d2-4d8b-9148-e3be6c30e623}">
          <xlrd:rvb i="1050"/>
        </ext>
      </extLst>
    </bk>
    <bk>
      <extLst>
        <ext uri="{3e2802c4-a4d2-4d8b-9148-e3be6c30e623}">
          <xlrd:rvb i="1051"/>
        </ext>
      </extLst>
    </bk>
    <bk>
      <extLst>
        <ext uri="{3e2802c4-a4d2-4d8b-9148-e3be6c30e623}">
          <xlrd:rvb i="1052"/>
        </ext>
      </extLst>
    </bk>
    <bk>
      <extLst>
        <ext uri="{3e2802c4-a4d2-4d8b-9148-e3be6c30e623}">
          <xlrd:rvb i="1053"/>
        </ext>
      </extLst>
    </bk>
    <bk>
      <extLst>
        <ext uri="{3e2802c4-a4d2-4d8b-9148-e3be6c30e623}">
          <xlrd:rvb i="1054"/>
        </ext>
      </extLst>
    </bk>
    <bk>
      <extLst>
        <ext uri="{3e2802c4-a4d2-4d8b-9148-e3be6c30e623}">
          <xlrd:rvb i="1055"/>
        </ext>
      </extLst>
    </bk>
    <bk>
      <extLst>
        <ext uri="{3e2802c4-a4d2-4d8b-9148-e3be6c30e623}">
          <xlrd:rvb i="1056"/>
        </ext>
      </extLst>
    </bk>
    <bk>
      <extLst>
        <ext uri="{3e2802c4-a4d2-4d8b-9148-e3be6c30e623}">
          <xlrd:rvb i="1057"/>
        </ext>
      </extLst>
    </bk>
    <bk>
      <extLst>
        <ext uri="{3e2802c4-a4d2-4d8b-9148-e3be6c30e623}">
          <xlrd:rvb i="1058"/>
        </ext>
      </extLst>
    </bk>
    <bk>
      <extLst>
        <ext uri="{3e2802c4-a4d2-4d8b-9148-e3be6c30e623}">
          <xlrd:rvb i="1059"/>
        </ext>
      </extLst>
    </bk>
    <bk>
      <extLst>
        <ext uri="{3e2802c4-a4d2-4d8b-9148-e3be6c30e623}">
          <xlrd:rvb i="1060"/>
        </ext>
      </extLst>
    </bk>
    <bk>
      <extLst>
        <ext uri="{3e2802c4-a4d2-4d8b-9148-e3be6c30e623}">
          <xlrd:rvb i="1061"/>
        </ext>
      </extLst>
    </bk>
    <bk>
      <extLst>
        <ext uri="{3e2802c4-a4d2-4d8b-9148-e3be6c30e623}">
          <xlrd:rvb i="1062"/>
        </ext>
      </extLst>
    </bk>
    <bk>
      <extLst>
        <ext uri="{3e2802c4-a4d2-4d8b-9148-e3be6c30e623}">
          <xlrd:rvb i="1063"/>
        </ext>
      </extLst>
    </bk>
    <bk>
      <extLst>
        <ext uri="{3e2802c4-a4d2-4d8b-9148-e3be6c30e623}">
          <xlrd:rvb i="1064"/>
        </ext>
      </extLst>
    </bk>
    <bk>
      <extLst>
        <ext uri="{3e2802c4-a4d2-4d8b-9148-e3be6c30e623}">
          <xlrd:rvb i="1065"/>
        </ext>
      </extLst>
    </bk>
    <bk>
      <extLst>
        <ext uri="{3e2802c4-a4d2-4d8b-9148-e3be6c30e623}">
          <xlrd:rvb i="1066"/>
        </ext>
      </extLst>
    </bk>
    <bk>
      <extLst>
        <ext uri="{3e2802c4-a4d2-4d8b-9148-e3be6c30e623}">
          <xlrd:rvb i="1067"/>
        </ext>
      </extLst>
    </bk>
    <bk>
      <extLst>
        <ext uri="{3e2802c4-a4d2-4d8b-9148-e3be6c30e623}">
          <xlrd:rvb i="1068"/>
        </ext>
      </extLst>
    </bk>
    <bk>
      <extLst>
        <ext uri="{3e2802c4-a4d2-4d8b-9148-e3be6c30e623}">
          <xlrd:rvb i="1069"/>
        </ext>
      </extLst>
    </bk>
    <bk>
      <extLst>
        <ext uri="{3e2802c4-a4d2-4d8b-9148-e3be6c30e623}">
          <xlrd:rvb i="1070"/>
        </ext>
      </extLst>
    </bk>
    <bk>
      <extLst>
        <ext uri="{3e2802c4-a4d2-4d8b-9148-e3be6c30e623}">
          <xlrd:rvb i="1071"/>
        </ext>
      </extLst>
    </bk>
    <bk>
      <extLst>
        <ext uri="{3e2802c4-a4d2-4d8b-9148-e3be6c30e623}">
          <xlrd:rvb i="1072"/>
        </ext>
      </extLst>
    </bk>
    <bk>
      <extLst>
        <ext uri="{3e2802c4-a4d2-4d8b-9148-e3be6c30e623}">
          <xlrd:rvb i="1073"/>
        </ext>
      </extLst>
    </bk>
    <bk>
      <extLst>
        <ext uri="{3e2802c4-a4d2-4d8b-9148-e3be6c30e623}">
          <xlrd:rvb i="1074"/>
        </ext>
      </extLst>
    </bk>
    <bk>
      <extLst>
        <ext uri="{3e2802c4-a4d2-4d8b-9148-e3be6c30e623}">
          <xlrd:rvb i="1075"/>
        </ext>
      </extLst>
    </bk>
    <bk>
      <extLst>
        <ext uri="{3e2802c4-a4d2-4d8b-9148-e3be6c30e623}">
          <xlrd:rvb i="1076"/>
        </ext>
      </extLst>
    </bk>
    <bk>
      <extLst>
        <ext uri="{3e2802c4-a4d2-4d8b-9148-e3be6c30e623}">
          <xlrd:rvb i="1077"/>
        </ext>
      </extLst>
    </bk>
    <bk>
      <extLst>
        <ext uri="{3e2802c4-a4d2-4d8b-9148-e3be6c30e623}">
          <xlrd:rvb i="1078"/>
        </ext>
      </extLst>
    </bk>
    <bk>
      <extLst>
        <ext uri="{3e2802c4-a4d2-4d8b-9148-e3be6c30e623}">
          <xlrd:rvb i="1079"/>
        </ext>
      </extLst>
    </bk>
    <bk>
      <extLst>
        <ext uri="{3e2802c4-a4d2-4d8b-9148-e3be6c30e623}">
          <xlrd:rvb i="1080"/>
        </ext>
      </extLst>
    </bk>
    <bk>
      <extLst>
        <ext uri="{3e2802c4-a4d2-4d8b-9148-e3be6c30e623}">
          <xlrd:rvb i="1081"/>
        </ext>
      </extLst>
    </bk>
    <bk>
      <extLst>
        <ext uri="{3e2802c4-a4d2-4d8b-9148-e3be6c30e623}">
          <xlrd:rvb i="1082"/>
        </ext>
      </extLst>
    </bk>
    <bk>
      <extLst>
        <ext uri="{3e2802c4-a4d2-4d8b-9148-e3be6c30e623}">
          <xlrd:rvb i="1083"/>
        </ext>
      </extLst>
    </bk>
    <bk>
      <extLst>
        <ext uri="{3e2802c4-a4d2-4d8b-9148-e3be6c30e623}">
          <xlrd:rvb i="1084"/>
        </ext>
      </extLst>
    </bk>
    <bk>
      <extLst>
        <ext uri="{3e2802c4-a4d2-4d8b-9148-e3be6c30e623}">
          <xlrd:rvb i="1085"/>
        </ext>
      </extLst>
    </bk>
    <bk>
      <extLst>
        <ext uri="{3e2802c4-a4d2-4d8b-9148-e3be6c30e623}">
          <xlrd:rvb i="1086"/>
        </ext>
      </extLst>
    </bk>
    <bk>
      <extLst>
        <ext uri="{3e2802c4-a4d2-4d8b-9148-e3be6c30e623}">
          <xlrd:rvb i="1087"/>
        </ext>
      </extLst>
    </bk>
    <bk>
      <extLst>
        <ext uri="{3e2802c4-a4d2-4d8b-9148-e3be6c30e623}">
          <xlrd:rvb i="1088"/>
        </ext>
      </extLst>
    </bk>
    <bk>
      <extLst>
        <ext uri="{3e2802c4-a4d2-4d8b-9148-e3be6c30e623}">
          <xlrd:rvb i="1089"/>
        </ext>
      </extLst>
    </bk>
    <bk>
      <extLst>
        <ext uri="{3e2802c4-a4d2-4d8b-9148-e3be6c30e623}">
          <xlrd:rvb i="1090"/>
        </ext>
      </extLst>
    </bk>
    <bk>
      <extLst>
        <ext uri="{3e2802c4-a4d2-4d8b-9148-e3be6c30e623}">
          <xlrd:rvb i="1091"/>
        </ext>
      </extLst>
    </bk>
    <bk>
      <extLst>
        <ext uri="{3e2802c4-a4d2-4d8b-9148-e3be6c30e623}">
          <xlrd:rvb i="1092"/>
        </ext>
      </extLst>
    </bk>
    <bk>
      <extLst>
        <ext uri="{3e2802c4-a4d2-4d8b-9148-e3be6c30e623}">
          <xlrd:rvb i="1093"/>
        </ext>
      </extLst>
    </bk>
    <bk>
      <extLst>
        <ext uri="{3e2802c4-a4d2-4d8b-9148-e3be6c30e623}">
          <xlrd:rvb i="1094"/>
        </ext>
      </extLst>
    </bk>
    <bk>
      <extLst>
        <ext uri="{3e2802c4-a4d2-4d8b-9148-e3be6c30e623}">
          <xlrd:rvb i="1095"/>
        </ext>
      </extLst>
    </bk>
    <bk>
      <extLst>
        <ext uri="{3e2802c4-a4d2-4d8b-9148-e3be6c30e623}">
          <xlrd:rvb i="1096"/>
        </ext>
      </extLst>
    </bk>
    <bk>
      <extLst>
        <ext uri="{3e2802c4-a4d2-4d8b-9148-e3be6c30e623}">
          <xlrd:rvb i="1097"/>
        </ext>
      </extLst>
    </bk>
    <bk>
      <extLst>
        <ext uri="{3e2802c4-a4d2-4d8b-9148-e3be6c30e623}">
          <xlrd:rvb i="1098"/>
        </ext>
      </extLst>
    </bk>
    <bk>
      <extLst>
        <ext uri="{3e2802c4-a4d2-4d8b-9148-e3be6c30e623}">
          <xlrd:rvb i="1099"/>
        </ext>
      </extLst>
    </bk>
    <bk>
      <extLst>
        <ext uri="{3e2802c4-a4d2-4d8b-9148-e3be6c30e623}">
          <xlrd:rvb i="1100"/>
        </ext>
      </extLst>
    </bk>
    <bk>
      <extLst>
        <ext uri="{3e2802c4-a4d2-4d8b-9148-e3be6c30e623}">
          <xlrd:rvb i="1101"/>
        </ext>
      </extLst>
    </bk>
    <bk>
      <extLst>
        <ext uri="{3e2802c4-a4d2-4d8b-9148-e3be6c30e623}">
          <xlrd:rvb i="1102"/>
        </ext>
      </extLst>
    </bk>
    <bk>
      <extLst>
        <ext uri="{3e2802c4-a4d2-4d8b-9148-e3be6c30e623}">
          <xlrd:rvb i="1103"/>
        </ext>
      </extLst>
    </bk>
    <bk>
      <extLst>
        <ext uri="{3e2802c4-a4d2-4d8b-9148-e3be6c30e623}">
          <xlrd:rvb i="1104"/>
        </ext>
      </extLst>
    </bk>
    <bk>
      <extLst>
        <ext uri="{3e2802c4-a4d2-4d8b-9148-e3be6c30e623}">
          <xlrd:rvb i="1105"/>
        </ext>
      </extLst>
    </bk>
    <bk>
      <extLst>
        <ext uri="{3e2802c4-a4d2-4d8b-9148-e3be6c30e623}">
          <xlrd:rvb i="1106"/>
        </ext>
      </extLst>
    </bk>
    <bk>
      <extLst>
        <ext uri="{3e2802c4-a4d2-4d8b-9148-e3be6c30e623}">
          <xlrd:rvb i="1107"/>
        </ext>
      </extLst>
    </bk>
    <bk>
      <extLst>
        <ext uri="{3e2802c4-a4d2-4d8b-9148-e3be6c30e623}">
          <xlrd:rvb i="1108"/>
        </ext>
      </extLst>
    </bk>
    <bk>
      <extLst>
        <ext uri="{3e2802c4-a4d2-4d8b-9148-e3be6c30e623}">
          <xlrd:rvb i="1109"/>
        </ext>
      </extLst>
    </bk>
    <bk>
      <extLst>
        <ext uri="{3e2802c4-a4d2-4d8b-9148-e3be6c30e623}">
          <xlrd:rvb i="1110"/>
        </ext>
      </extLst>
    </bk>
    <bk>
      <extLst>
        <ext uri="{3e2802c4-a4d2-4d8b-9148-e3be6c30e623}">
          <xlrd:rvb i="1111"/>
        </ext>
      </extLst>
    </bk>
    <bk>
      <extLst>
        <ext uri="{3e2802c4-a4d2-4d8b-9148-e3be6c30e623}">
          <xlrd:rvb i="1112"/>
        </ext>
      </extLst>
    </bk>
    <bk>
      <extLst>
        <ext uri="{3e2802c4-a4d2-4d8b-9148-e3be6c30e623}">
          <xlrd:rvb i="1113"/>
        </ext>
      </extLst>
    </bk>
    <bk>
      <extLst>
        <ext uri="{3e2802c4-a4d2-4d8b-9148-e3be6c30e623}">
          <xlrd:rvb i="1114"/>
        </ext>
      </extLst>
    </bk>
    <bk>
      <extLst>
        <ext uri="{3e2802c4-a4d2-4d8b-9148-e3be6c30e623}">
          <xlrd:rvb i="1115"/>
        </ext>
      </extLst>
    </bk>
    <bk>
      <extLst>
        <ext uri="{3e2802c4-a4d2-4d8b-9148-e3be6c30e623}">
          <xlrd:rvb i="1116"/>
        </ext>
      </extLst>
    </bk>
    <bk>
      <extLst>
        <ext uri="{3e2802c4-a4d2-4d8b-9148-e3be6c30e623}">
          <xlrd:rvb i="1117"/>
        </ext>
      </extLst>
    </bk>
    <bk>
      <extLst>
        <ext uri="{3e2802c4-a4d2-4d8b-9148-e3be6c30e623}">
          <xlrd:rvb i="1118"/>
        </ext>
      </extLst>
    </bk>
    <bk>
      <extLst>
        <ext uri="{3e2802c4-a4d2-4d8b-9148-e3be6c30e623}">
          <xlrd:rvb i="1119"/>
        </ext>
      </extLst>
    </bk>
    <bk>
      <extLst>
        <ext uri="{3e2802c4-a4d2-4d8b-9148-e3be6c30e623}">
          <xlrd:rvb i="1120"/>
        </ext>
      </extLst>
    </bk>
    <bk>
      <extLst>
        <ext uri="{3e2802c4-a4d2-4d8b-9148-e3be6c30e623}">
          <xlrd:rvb i="1121"/>
        </ext>
      </extLst>
    </bk>
    <bk>
      <extLst>
        <ext uri="{3e2802c4-a4d2-4d8b-9148-e3be6c30e623}">
          <xlrd:rvb i="1122"/>
        </ext>
      </extLst>
    </bk>
    <bk>
      <extLst>
        <ext uri="{3e2802c4-a4d2-4d8b-9148-e3be6c30e623}">
          <xlrd:rvb i="1123"/>
        </ext>
      </extLst>
    </bk>
    <bk>
      <extLst>
        <ext uri="{3e2802c4-a4d2-4d8b-9148-e3be6c30e623}">
          <xlrd:rvb i="1124"/>
        </ext>
      </extLst>
    </bk>
    <bk>
      <extLst>
        <ext uri="{3e2802c4-a4d2-4d8b-9148-e3be6c30e623}">
          <xlrd:rvb i="1125"/>
        </ext>
      </extLst>
    </bk>
    <bk>
      <extLst>
        <ext uri="{3e2802c4-a4d2-4d8b-9148-e3be6c30e623}">
          <xlrd:rvb i="1126"/>
        </ext>
      </extLst>
    </bk>
    <bk>
      <extLst>
        <ext uri="{3e2802c4-a4d2-4d8b-9148-e3be6c30e623}">
          <xlrd:rvb i="1127"/>
        </ext>
      </extLst>
    </bk>
    <bk>
      <extLst>
        <ext uri="{3e2802c4-a4d2-4d8b-9148-e3be6c30e623}">
          <xlrd:rvb i="1128"/>
        </ext>
      </extLst>
    </bk>
    <bk>
      <extLst>
        <ext uri="{3e2802c4-a4d2-4d8b-9148-e3be6c30e623}">
          <xlrd:rvb i="1129"/>
        </ext>
      </extLst>
    </bk>
    <bk>
      <extLst>
        <ext uri="{3e2802c4-a4d2-4d8b-9148-e3be6c30e623}">
          <xlrd:rvb i="1130"/>
        </ext>
      </extLst>
    </bk>
    <bk>
      <extLst>
        <ext uri="{3e2802c4-a4d2-4d8b-9148-e3be6c30e623}">
          <xlrd:rvb i="1131"/>
        </ext>
      </extLst>
    </bk>
    <bk>
      <extLst>
        <ext uri="{3e2802c4-a4d2-4d8b-9148-e3be6c30e623}">
          <xlrd:rvb i="1132"/>
        </ext>
      </extLst>
    </bk>
    <bk>
      <extLst>
        <ext uri="{3e2802c4-a4d2-4d8b-9148-e3be6c30e623}">
          <xlrd:rvb i="1133"/>
        </ext>
      </extLst>
    </bk>
    <bk>
      <extLst>
        <ext uri="{3e2802c4-a4d2-4d8b-9148-e3be6c30e623}">
          <xlrd:rvb i="1134"/>
        </ext>
      </extLst>
    </bk>
    <bk>
      <extLst>
        <ext uri="{3e2802c4-a4d2-4d8b-9148-e3be6c30e623}">
          <xlrd:rvb i="1135"/>
        </ext>
      </extLst>
    </bk>
    <bk>
      <extLst>
        <ext uri="{3e2802c4-a4d2-4d8b-9148-e3be6c30e623}">
          <xlrd:rvb i="1136"/>
        </ext>
      </extLst>
    </bk>
    <bk>
      <extLst>
        <ext uri="{3e2802c4-a4d2-4d8b-9148-e3be6c30e623}">
          <xlrd:rvb i="1137"/>
        </ext>
      </extLst>
    </bk>
    <bk>
      <extLst>
        <ext uri="{3e2802c4-a4d2-4d8b-9148-e3be6c30e623}">
          <xlrd:rvb i="1138"/>
        </ext>
      </extLst>
    </bk>
    <bk>
      <extLst>
        <ext uri="{3e2802c4-a4d2-4d8b-9148-e3be6c30e623}">
          <xlrd:rvb i="1139"/>
        </ext>
      </extLst>
    </bk>
    <bk>
      <extLst>
        <ext uri="{3e2802c4-a4d2-4d8b-9148-e3be6c30e623}">
          <xlrd:rvb i="1140"/>
        </ext>
      </extLst>
    </bk>
    <bk>
      <extLst>
        <ext uri="{3e2802c4-a4d2-4d8b-9148-e3be6c30e623}">
          <xlrd:rvb i="1141"/>
        </ext>
      </extLst>
    </bk>
    <bk>
      <extLst>
        <ext uri="{3e2802c4-a4d2-4d8b-9148-e3be6c30e623}">
          <xlrd:rvb i="1142"/>
        </ext>
      </extLst>
    </bk>
    <bk>
      <extLst>
        <ext uri="{3e2802c4-a4d2-4d8b-9148-e3be6c30e623}">
          <xlrd:rvb i="1143"/>
        </ext>
      </extLst>
    </bk>
    <bk>
      <extLst>
        <ext uri="{3e2802c4-a4d2-4d8b-9148-e3be6c30e623}">
          <xlrd:rvb i="1144"/>
        </ext>
      </extLst>
    </bk>
    <bk>
      <extLst>
        <ext uri="{3e2802c4-a4d2-4d8b-9148-e3be6c30e623}">
          <xlrd:rvb i="1145"/>
        </ext>
      </extLst>
    </bk>
    <bk>
      <extLst>
        <ext uri="{3e2802c4-a4d2-4d8b-9148-e3be6c30e623}">
          <xlrd:rvb i="1146"/>
        </ext>
      </extLst>
    </bk>
    <bk>
      <extLst>
        <ext uri="{3e2802c4-a4d2-4d8b-9148-e3be6c30e623}">
          <xlrd:rvb i="1147"/>
        </ext>
      </extLst>
    </bk>
    <bk>
      <extLst>
        <ext uri="{3e2802c4-a4d2-4d8b-9148-e3be6c30e623}">
          <xlrd:rvb i="1148"/>
        </ext>
      </extLst>
    </bk>
    <bk>
      <extLst>
        <ext uri="{3e2802c4-a4d2-4d8b-9148-e3be6c30e623}">
          <xlrd:rvb i="1149"/>
        </ext>
      </extLst>
    </bk>
    <bk>
      <extLst>
        <ext uri="{3e2802c4-a4d2-4d8b-9148-e3be6c30e623}">
          <xlrd:rvb i="1150"/>
        </ext>
      </extLst>
    </bk>
    <bk>
      <extLst>
        <ext uri="{3e2802c4-a4d2-4d8b-9148-e3be6c30e623}">
          <xlrd:rvb i="1151"/>
        </ext>
      </extLst>
    </bk>
    <bk>
      <extLst>
        <ext uri="{3e2802c4-a4d2-4d8b-9148-e3be6c30e623}">
          <xlrd:rvb i="1152"/>
        </ext>
      </extLst>
    </bk>
    <bk>
      <extLst>
        <ext uri="{3e2802c4-a4d2-4d8b-9148-e3be6c30e623}">
          <xlrd:rvb i="1153"/>
        </ext>
      </extLst>
    </bk>
    <bk>
      <extLst>
        <ext uri="{3e2802c4-a4d2-4d8b-9148-e3be6c30e623}">
          <xlrd:rvb i="1154"/>
        </ext>
      </extLst>
    </bk>
    <bk>
      <extLst>
        <ext uri="{3e2802c4-a4d2-4d8b-9148-e3be6c30e623}">
          <xlrd:rvb i="1155"/>
        </ext>
      </extLst>
    </bk>
    <bk>
      <extLst>
        <ext uri="{3e2802c4-a4d2-4d8b-9148-e3be6c30e623}">
          <xlrd:rvb i="1156"/>
        </ext>
      </extLst>
    </bk>
    <bk>
      <extLst>
        <ext uri="{3e2802c4-a4d2-4d8b-9148-e3be6c30e623}">
          <xlrd:rvb i="1157"/>
        </ext>
      </extLst>
    </bk>
    <bk>
      <extLst>
        <ext uri="{3e2802c4-a4d2-4d8b-9148-e3be6c30e623}">
          <xlrd:rvb i="1158"/>
        </ext>
      </extLst>
    </bk>
    <bk>
      <extLst>
        <ext uri="{3e2802c4-a4d2-4d8b-9148-e3be6c30e623}">
          <xlrd:rvb i="1159"/>
        </ext>
      </extLst>
    </bk>
    <bk>
      <extLst>
        <ext uri="{3e2802c4-a4d2-4d8b-9148-e3be6c30e623}">
          <xlrd:rvb i="1160"/>
        </ext>
      </extLst>
    </bk>
    <bk>
      <extLst>
        <ext uri="{3e2802c4-a4d2-4d8b-9148-e3be6c30e623}">
          <xlrd:rvb i="1161"/>
        </ext>
      </extLst>
    </bk>
    <bk>
      <extLst>
        <ext uri="{3e2802c4-a4d2-4d8b-9148-e3be6c30e623}">
          <xlrd:rvb i="1162"/>
        </ext>
      </extLst>
    </bk>
    <bk>
      <extLst>
        <ext uri="{3e2802c4-a4d2-4d8b-9148-e3be6c30e623}">
          <xlrd:rvb i="1163"/>
        </ext>
      </extLst>
    </bk>
    <bk>
      <extLst>
        <ext uri="{3e2802c4-a4d2-4d8b-9148-e3be6c30e623}">
          <xlrd:rvb i="1164"/>
        </ext>
      </extLst>
    </bk>
    <bk>
      <extLst>
        <ext uri="{3e2802c4-a4d2-4d8b-9148-e3be6c30e623}">
          <xlrd:rvb i="1165"/>
        </ext>
      </extLst>
    </bk>
    <bk>
      <extLst>
        <ext uri="{3e2802c4-a4d2-4d8b-9148-e3be6c30e623}">
          <xlrd:rvb i="1166"/>
        </ext>
      </extLst>
    </bk>
    <bk>
      <extLst>
        <ext uri="{3e2802c4-a4d2-4d8b-9148-e3be6c30e623}">
          <xlrd:rvb i="1167"/>
        </ext>
      </extLst>
    </bk>
    <bk>
      <extLst>
        <ext uri="{3e2802c4-a4d2-4d8b-9148-e3be6c30e623}">
          <xlrd:rvb i="1168"/>
        </ext>
      </extLst>
    </bk>
    <bk>
      <extLst>
        <ext uri="{3e2802c4-a4d2-4d8b-9148-e3be6c30e623}">
          <xlrd:rvb i="1169"/>
        </ext>
      </extLst>
    </bk>
    <bk>
      <extLst>
        <ext uri="{3e2802c4-a4d2-4d8b-9148-e3be6c30e623}">
          <xlrd:rvb i="1170"/>
        </ext>
      </extLst>
    </bk>
    <bk>
      <extLst>
        <ext uri="{3e2802c4-a4d2-4d8b-9148-e3be6c30e623}">
          <xlrd:rvb i="1171"/>
        </ext>
      </extLst>
    </bk>
    <bk>
      <extLst>
        <ext uri="{3e2802c4-a4d2-4d8b-9148-e3be6c30e623}">
          <xlrd:rvb i="1172"/>
        </ext>
      </extLst>
    </bk>
    <bk>
      <extLst>
        <ext uri="{3e2802c4-a4d2-4d8b-9148-e3be6c30e623}">
          <xlrd:rvb i="1173"/>
        </ext>
      </extLst>
    </bk>
    <bk>
      <extLst>
        <ext uri="{3e2802c4-a4d2-4d8b-9148-e3be6c30e623}">
          <xlrd:rvb i="1174"/>
        </ext>
      </extLst>
    </bk>
    <bk>
      <extLst>
        <ext uri="{3e2802c4-a4d2-4d8b-9148-e3be6c30e623}">
          <xlrd:rvb i="1175"/>
        </ext>
      </extLst>
    </bk>
    <bk>
      <extLst>
        <ext uri="{3e2802c4-a4d2-4d8b-9148-e3be6c30e623}">
          <xlrd:rvb i="1176"/>
        </ext>
      </extLst>
    </bk>
    <bk>
      <extLst>
        <ext uri="{3e2802c4-a4d2-4d8b-9148-e3be6c30e623}">
          <xlrd:rvb i="1177"/>
        </ext>
      </extLst>
    </bk>
    <bk>
      <extLst>
        <ext uri="{3e2802c4-a4d2-4d8b-9148-e3be6c30e623}">
          <xlrd:rvb i="1178"/>
        </ext>
      </extLst>
    </bk>
    <bk>
      <extLst>
        <ext uri="{3e2802c4-a4d2-4d8b-9148-e3be6c30e623}">
          <xlrd:rvb i="1179"/>
        </ext>
      </extLst>
    </bk>
    <bk>
      <extLst>
        <ext uri="{3e2802c4-a4d2-4d8b-9148-e3be6c30e623}">
          <xlrd:rvb i="1180"/>
        </ext>
      </extLst>
    </bk>
    <bk>
      <extLst>
        <ext uri="{3e2802c4-a4d2-4d8b-9148-e3be6c30e623}">
          <xlrd:rvb i="1181"/>
        </ext>
      </extLst>
    </bk>
    <bk>
      <extLst>
        <ext uri="{3e2802c4-a4d2-4d8b-9148-e3be6c30e623}">
          <xlrd:rvb i="1182"/>
        </ext>
      </extLst>
    </bk>
    <bk>
      <extLst>
        <ext uri="{3e2802c4-a4d2-4d8b-9148-e3be6c30e623}">
          <xlrd:rvb i="1183"/>
        </ext>
      </extLst>
    </bk>
    <bk>
      <extLst>
        <ext uri="{3e2802c4-a4d2-4d8b-9148-e3be6c30e623}">
          <xlrd:rvb i="1184"/>
        </ext>
      </extLst>
    </bk>
    <bk>
      <extLst>
        <ext uri="{3e2802c4-a4d2-4d8b-9148-e3be6c30e623}">
          <xlrd:rvb i="1185"/>
        </ext>
      </extLst>
    </bk>
    <bk>
      <extLst>
        <ext uri="{3e2802c4-a4d2-4d8b-9148-e3be6c30e623}">
          <xlrd:rvb i="1186"/>
        </ext>
      </extLst>
    </bk>
    <bk>
      <extLst>
        <ext uri="{3e2802c4-a4d2-4d8b-9148-e3be6c30e623}">
          <xlrd:rvb i="1187"/>
        </ext>
      </extLst>
    </bk>
    <bk>
      <extLst>
        <ext uri="{3e2802c4-a4d2-4d8b-9148-e3be6c30e623}">
          <xlrd:rvb i="1188"/>
        </ext>
      </extLst>
    </bk>
    <bk>
      <extLst>
        <ext uri="{3e2802c4-a4d2-4d8b-9148-e3be6c30e623}">
          <xlrd:rvb i="1189"/>
        </ext>
      </extLst>
    </bk>
    <bk>
      <extLst>
        <ext uri="{3e2802c4-a4d2-4d8b-9148-e3be6c30e623}">
          <xlrd:rvb i="1190"/>
        </ext>
      </extLst>
    </bk>
    <bk>
      <extLst>
        <ext uri="{3e2802c4-a4d2-4d8b-9148-e3be6c30e623}">
          <xlrd:rvb i="1191"/>
        </ext>
      </extLst>
    </bk>
    <bk>
      <extLst>
        <ext uri="{3e2802c4-a4d2-4d8b-9148-e3be6c30e623}">
          <xlrd:rvb i="1192"/>
        </ext>
      </extLst>
    </bk>
    <bk>
      <extLst>
        <ext uri="{3e2802c4-a4d2-4d8b-9148-e3be6c30e623}">
          <xlrd:rvb i="1193"/>
        </ext>
      </extLst>
    </bk>
    <bk>
      <extLst>
        <ext uri="{3e2802c4-a4d2-4d8b-9148-e3be6c30e623}">
          <xlrd:rvb i="1194"/>
        </ext>
      </extLst>
    </bk>
    <bk>
      <extLst>
        <ext uri="{3e2802c4-a4d2-4d8b-9148-e3be6c30e623}">
          <xlrd:rvb i="1195"/>
        </ext>
      </extLst>
    </bk>
    <bk>
      <extLst>
        <ext uri="{3e2802c4-a4d2-4d8b-9148-e3be6c30e623}">
          <xlrd:rvb i="1196"/>
        </ext>
      </extLst>
    </bk>
    <bk>
      <extLst>
        <ext uri="{3e2802c4-a4d2-4d8b-9148-e3be6c30e623}">
          <xlrd:rvb i="1197"/>
        </ext>
      </extLst>
    </bk>
    <bk>
      <extLst>
        <ext uri="{3e2802c4-a4d2-4d8b-9148-e3be6c30e623}">
          <xlrd:rvb i="1198"/>
        </ext>
      </extLst>
    </bk>
    <bk>
      <extLst>
        <ext uri="{3e2802c4-a4d2-4d8b-9148-e3be6c30e623}">
          <xlrd:rvb i="1199"/>
        </ext>
      </extLst>
    </bk>
    <bk>
      <extLst>
        <ext uri="{3e2802c4-a4d2-4d8b-9148-e3be6c30e623}">
          <xlrd:rvb i="1200"/>
        </ext>
      </extLst>
    </bk>
    <bk>
      <extLst>
        <ext uri="{3e2802c4-a4d2-4d8b-9148-e3be6c30e623}">
          <xlrd:rvb i="1201"/>
        </ext>
      </extLst>
    </bk>
    <bk>
      <extLst>
        <ext uri="{3e2802c4-a4d2-4d8b-9148-e3be6c30e623}">
          <xlrd:rvb i="1202"/>
        </ext>
      </extLst>
    </bk>
    <bk>
      <extLst>
        <ext uri="{3e2802c4-a4d2-4d8b-9148-e3be6c30e623}">
          <xlrd:rvb i="1203"/>
        </ext>
      </extLst>
    </bk>
    <bk>
      <extLst>
        <ext uri="{3e2802c4-a4d2-4d8b-9148-e3be6c30e623}">
          <xlrd:rvb i="1204"/>
        </ext>
      </extLst>
    </bk>
    <bk>
      <extLst>
        <ext uri="{3e2802c4-a4d2-4d8b-9148-e3be6c30e623}">
          <xlrd:rvb i="1205"/>
        </ext>
      </extLst>
    </bk>
    <bk>
      <extLst>
        <ext uri="{3e2802c4-a4d2-4d8b-9148-e3be6c30e623}">
          <xlrd:rvb i="1206"/>
        </ext>
      </extLst>
    </bk>
    <bk>
      <extLst>
        <ext uri="{3e2802c4-a4d2-4d8b-9148-e3be6c30e623}">
          <xlrd:rvb i="1207"/>
        </ext>
      </extLst>
    </bk>
    <bk>
      <extLst>
        <ext uri="{3e2802c4-a4d2-4d8b-9148-e3be6c30e623}">
          <xlrd:rvb i="1208"/>
        </ext>
      </extLst>
    </bk>
    <bk>
      <extLst>
        <ext uri="{3e2802c4-a4d2-4d8b-9148-e3be6c30e623}">
          <xlrd:rvb i="1209"/>
        </ext>
      </extLst>
    </bk>
    <bk>
      <extLst>
        <ext uri="{3e2802c4-a4d2-4d8b-9148-e3be6c30e623}">
          <xlrd:rvb i="1210"/>
        </ext>
      </extLst>
    </bk>
    <bk>
      <extLst>
        <ext uri="{3e2802c4-a4d2-4d8b-9148-e3be6c30e623}">
          <xlrd:rvb i="1211"/>
        </ext>
      </extLst>
    </bk>
    <bk>
      <extLst>
        <ext uri="{3e2802c4-a4d2-4d8b-9148-e3be6c30e623}">
          <xlrd:rvb i="1212"/>
        </ext>
      </extLst>
    </bk>
    <bk>
      <extLst>
        <ext uri="{3e2802c4-a4d2-4d8b-9148-e3be6c30e623}">
          <xlrd:rvb i="1213"/>
        </ext>
      </extLst>
    </bk>
    <bk>
      <extLst>
        <ext uri="{3e2802c4-a4d2-4d8b-9148-e3be6c30e623}">
          <xlrd:rvb i="1214"/>
        </ext>
      </extLst>
    </bk>
    <bk>
      <extLst>
        <ext uri="{3e2802c4-a4d2-4d8b-9148-e3be6c30e623}">
          <xlrd:rvb i="1215"/>
        </ext>
      </extLst>
    </bk>
    <bk>
      <extLst>
        <ext uri="{3e2802c4-a4d2-4d8b-9148-e3be6c30e623}">
          <xlrd:rvb i="1216"/>
        </ext>
      </extLst>
    </bk>
    <bk>
      <extLst>
        <ext uri="{3e2802c4-a4d2-4d8b-9148-e3be6c30e623}">
          <xlrd:rvb i="1217"/>
        </ext>
      </extLst>
    </bk>
    <bk>
      <extLst>
        <ext uri="{3e2802c4-a4d2-4d8b-9148-e3be6c30e623}">
          <xlrd:rvb i="1218"/>
        </ext>
      </extLst>
    </bk>
    <bk>
      <extLst>
        <ext uri="{3e2802c4-a4d2-4d8b-9148-e3be6c30e623}">
          <xlrd:rvb i="1219"/>
        </ext>
      </extLst>
    </bk>
    <bk>
      <extLst>
        <ext uri="{3e2802c4-a4d2-4d8b-9148-e3be6c30e623}">
          <xlrd:rvb i="1220"/>
        </ext>
      </extLst>
    </bk>
    <bk>
      <extLst>
        <ext uri="{3e2802c4-a4d2-4d8b-9148-e3be6c30e623}">
          <xlrd:rvb i="1221"/>
        </ext>
      </extLst>
    </bk>
    <bk>
      <extLst>
        <ext uri="{3e2802c4-a4d2-4d8b-9148-e3be6c30e623}">
          <xlrd:rvb i="1222"/>
        </ext>
      </extLst>
    </bk>
    <bk>
      <extLst>
        <ext uri="{3e2802c4-a4d2-4d8b-9148-e3be6c30e623}">
          <xlrd:rvb i="1223"/>
        </ext>
      </extLst>
    </bk>
    <bk>
      <extLst>
        <ext uri="{3e2802c4-a4d2-4d8b-9148-e3be6c30e623}">
          <xlrd:rvb i="1224"/>
        </ext>
      </extLst>
    </bk>
    <bk>
      <extLst>
        <ext uri="{3e2802c4-a4d2-4d8b-9148-e3be6c30e623}">
          <xlrd:rvb i="1225"/>
        </ext>
      </extLst>
    </bk>
    <bk>
      <extLst>
        <ext uri="{3e2802c4-a4d2-4d8b-9148-e3be6c30e623}">
          <xlrd:rvb i="1226"/>
        </ext>
      </extLst>
    </bk>
    <bk>
      <extLst>
        <ext uri="{3e2802c4-a4d2-4d8b-9148-e3be6c30e623}">
          <xlrd:rvb i="1227"/>
        </ext>
      </extLst>
    </bk>
    <bk>
      <extLst>
        <ext uri="{3e2802c4-a4d2-4d8b-9148-e3be6c30e623}">
          <xlrd:rvb i="1228"/>
        </ext>
      </extLst>
    </bk>
    <bk>
      <extLst>
        <ext uri="{3e2802c4-a4d2-4d8b-9148-e3be6c30e623}">
          <xlrd:rvb i="1229"/>
        </ext>
      </extLst>
    </bk>
    <bk>
      <extLst>
        <ext uri="{3e2802c4-a4d2-4d8b-9148-e3be6c30e623}">
          <xlrd:rvb i="1230"/>
        </ext>
      </extLst>
    </bk>
    <bk>
      <extLst>
        <ext uri="{3e2802c4-a4d2-4d8b-9148-e3be6c30e623}">
          <xlrd:rvb i="1231"/>
        </ext>
      </extLst>
    </bk>
    <bk>
      <extLst>
        <ext uri="{3e2802c4-a4d2-4d8b-9148-e3be6c30e623}">
          <xlrd:rvb i="1232"/>
        </ext>
      </extLst>
    </bk>
    <bk>
      <extLst>
        <ext uri="{3e2802c4-a4d2-4d8b-9148-e3be6c30e623}">
          <xlrd:rvb i="1233"/>
        </ext>
      </extLst>
    </bk>
    <bk>
      <extLst>
        <ext uri="{3e2802c4-a4d2-4d8b-9148-e3be6c30e623}">
          <xlrd:rvb i="1234"/>
        </ext>
      </extLst>
    </bk>
    <bk>
      <extLst>
        <ext uri="{3e2802c4-a4d2-4d8b-9148-e3be6c30e623}">
          <xlrd:rvb i="1235"/>
        </ext>
      </extLst>
    </bk>
    <bk>
      <extLst>
        <ext uri="{3e2802c4-a4d2-4d8b-9148-e3be6c30e623}">
          <xlrd:rvb i="1236"/>
        </ext>
      </extLst>
    </bk>
    <bk>
      <extLst>
        <ext uri="{3e2802c4-a4d2-4d8b-9148-e3be6c30e623}">
          <xlrd:rvb i="1237"/>
        </ext>
      </extLst>
    </bk>
    <bk>
      <extLst>
        <ext uri="{3e2802c4-a4d2-4d8b-9148-e3be6c30e623}">
          <xlrd:rvb i="1238"/>
        </ext>
      </extLst>
    </bk>
    <bk>
      <extLst>
        <ext uri="{3e2802c4-a4d2-4d8b-9148-e3be6c30e623}">
          <xlrd:rvb i="1239"/>
        </ext>
      </extLst>
    </bk>
    <bk>
      <extLst>
        <ext uri="{3e2802c4-a4d2-4d8b-9148-e3be6c30e623}">
          <xlrd:rvb i="1240"/>
        </ext>
      </extLst>
    </bk>
    <bk>
      <extLst>
        <ext uri="{3e2802c4-a4d2-4d8b-9148-e3be6c30e623}">
          <xlrd:rvb i="1241"/>
        </ext>
      </extLst>
    </bk>
    <bk>
      <extLst>
        <ext uri="{3e2802c4-a4d2-4d8b-9148-e3be6c30e623}">
          <xlrd:rvb i="1242"/>
        </ext>
      </extLst>
    </bk>
    <bk>
      <extLst>
        <ext uri="{3e2802c4-a4d2-4d8b-9148-e3be6c30e623}">
          <xlrd:rvb i="1243"/>
        </ext>
      </extLst>
    </bk>
    <bk>
      <extLst>
        <ext uri="{3e2802c4-a4d2-4d8b-9148-e3be6c30e623}">
          <xlrd:rvb i="1244"/>
        </ext>
      </extLst>
    </bk>
    <bk>
      <extLst>
        <ext uri="{3e2802c4-a4d2-4d8b-9148-e3be6c30e623}">
          <xlrd:rvb i="1245"/>
        </ext>
      </extLst>
    </bk>
    <bk>
      <extLst>
        <ext uri="{3e2802c4-a4d2-4d8b-9148-e3be6c30e623}">
          <xlrd:rvb i="1246"/>
        </ext>
      </extLst>
    </bk>
    <bk>
      <extLst>
        <ext uri="{3e2802c4-a4d2-4d8b-9148-e3be6c30e623}">
          <xlrd:rvb i="1247"/>
        </ext>
      </extLst>
    </bk>
    <bk>
      <extLst>
        <ext uri="{3e2802c4-a4d2-4d8b-9148-e3be6c30e623}">
          <xlrd:rvb i="1248"/>
        </ext>
      </extLst>
    </bk>
    <bk>
      <extLst>
        <ext uri="{3e2802c4-a4d2-4d8b-9148-e3be6c30e623}">
          <xlrd:rvb i="1249"/>
        </ext>
      </extLst>
    </bk>
    <bk>
      <extLst>
        <ext uri="{3e2802c4-a4d2-4d8b-9148-e3be6c30e623}">
          <xlrd:rvb i="1250"/>
        </ext>
      </extLst>
    </bk>
    <bk>
      <extLst>
        <ext uri="{3e2802c4-a4d2-4d8b-9148-e3be6c30e623}">
          <xlrd:rvb i="1251"/>
        </ext>
      </extLst>
    </bk>
    <bk>
      <extLst>
        <ext uri="{3e2802c4-a4d2-4d8b-9148-e3be6c30e623}">
          <xlrd:rvb i="1252"/>
        </ext>
      </extLst>
    </bk>
    <bk>
      <extLst>
        <ext uri="{3e2802c4-a4d2-4d8b-9148-e3be6c30e623}">
          <xlrd:rvb i="1253"/>
        </ext>
      </extLst>
    </bk>
    <bk>
      <extLst>
        <ext uri="{3e2802c4-a4d2-4d8b-9148-e3be6c30e623}">
          <xlrd:rvb i="1254"/>
        </ext>
      </extLst>
    </bk>
    <bk>
      <extLst>
        <ext uri="{3e2802c4-a4d2-4d8b-9148-e3be6c30e623}">
          <xlrd:rvb i="1255"/>
        </ext>
      </extLst>
    </bk>
    <bk>
      <extLst>
        <ext uri="{3e2802c4-a4d2-4d8b-9148-e3be6c30e623}">
          <xlrd:rvb i="1256"/>
        </ext>
      </extLst>
    </bk>
    <bk>
      <extLst>
        <ext uri="{3e2802c4-a4d2-4d8b-9148-e3be6c30e623}">
          <xlrd:rvb i="1257"/>
        </ext>
      </extLst>
    </bk>
    <bk>
      <extLst>
        <ext uri="{3e2802c4-a4d2-4d8b-9148-e3be6c30e623}">
          <xlrd:rvb i="1258"/>
        </ext>
      </extLst>
    </bk>
    <bk>
      <extLst>
        <ext uri="{3e2802c4-a4d2-4d8b-9148-e3be6c30e623}">
          <xlrd:rvb i="1259"/>
        </ext>
      </extLst>
    </bk>
    <bk>
      <extLst>
        <ext uri="{3e2802c4-a4d2-4d8b-9148-e3be6c30e623}">
          <xlrd:rvb i="1260"/>
        </ext>
      </extLst>
    </bk>
    <bk>
      <extLst>
        <ext uri="{3e2802c4-a4d2-4d8b-9148-e3be6c30e623}">
          <xlrd:rvb i="1261"/>
        </ext>
      </extLst>
    </bk>
    <bk>
      <extLst>
        <ext uri="{3e2802c4-a4d2-4d8b-9148-e3be6c30e623}">
          <xlrd:rvb i="1262"/>
        </ext>
      </extLst>
    </bk>
    <bk>
      <extLst>
        <ext uri="{3e2802c4-a4d2-4d8b-9148-e3be6c30e623}">
          <xlrd:rvb i="1263"/>
        </ext>
      </extLst>
    </bk>
    <bk>
      <extLst>
        <ext uri="{3e2802c4-a4d2-4d8b-9148-e3be6c30e623}">
          <xlrd:rvb i="1264"/>
        </ext>
      </extLst>
    </bk>
    <bk>
      <extLst>
        <ext uri="{3e2802c4-a4d2-4d8b-9148-e3be6c30e623}">
          <xlrd:rvb i="1265"/>
        </ext>
      </extLst>
    </bk>
    <bk>
      <extLst>
        <ext uri="{3e2802c4-a4d2-4d8b-9148-e3be6c30e623}">
          <xlrd:rvb i="1266"/>
        </ext>
      </extLst>
    </bk>
    <bk>
      <extLst>
        <ext uri="{3e2802c4-a4d2-4d8b-9148-e3be6c30e623}">
          <xlrd:rvb i="1267"/>
        </ext>
      </extLst>
    </bk>
    <bk>
      <extLst>
        <ext uri="{3e2802c4-a4d2-4d8b-9148-e3be6c30e623}">
          <xlrd:rvb i="1268"/>
        </ext>
      </extLst>
    </bk>
    <bk>
      <extLst>
        <ext uri="{3e2802c4-a4d2-4d8b-9148-e3be6c30e623}">
          <xlrd:rvb i="1269"/>
        </ext>
      </extLst>
    </bk>
    <bk>
      <extLst>
        <ext uri="{3e2802c4-a4d2-4d8b-9148-e3be6c30e623}">
          <xlrd:rvb i="1270"/>
        </ext>
      </extLst>
    </bk>
    <bk>
      <extLst>
        <ext uri="{3e2802c4-a4d2-4d8b-9148-e3be6c30e623}">
          <xlrd:rvb i="1271"/>
        </ext>
      </extLst>
    </bk>
    <bk>
      <extLst>
        <ext uri="{3e2802c4-a4d2-4d8b-9148-e3be6c30e623}">
          <xlrd:rvb i="1272"/>
        </ext>
      </extLst>
    </bk>
    <bk>
      <extLst>
        <ext uri="{3e2802c4-a4d2-4d8b-9148-e3be6c30e623}">
          <xlrd:rvb i="1273"/>
        </ext>
      </extLst>
    </bk>
    <bk>
      <extLst>
        <ext uri="{3e2802c4-a4d2-4d8b-9148-e3be6c30e623}">
          <xlrd:rvb i="1274"/>
        </ext>
      </extLst>
    </bk>
    <bk>
      <extLst>
        <ext uri="{3e2802c4-a4d2-4d8b-9148-e3be6c30e623}">
          <xlrd:rvb i="1275"/>
        </ext>
      </extLst>
    </bk>
    <bk>
      <extLst>
        <ext uri="{3e2802c4-a4d2-4d8b-9148-e3be6c30e623}">
          <xlrd:rvb i="1276"/>
        </ext>
      </extLst>
    </bk>
    <bk>
      <extLst>
        <ext uri="{3e2802c4-a4d2-4d8b-9148-e3be6c30e623}">
          <xlrd:rvb i="1277"/>
        </ext>
      </extLst>
    </bk>
    <bk>
      <extLst>
        <ext uri="{3e2802c4-a4d2-4d8b-9148-e3be6c30e623}">
          <xlrd:rvb i="1278"/>
        </ext>
      </extLst>
    </bk>
    <bk>
      <extLst>
        <ext uri="{3e2802c4-a4d2-4d8b-9148-e3be6c30e623}">
          <xlrd:rvb i="1279"/>
        </ext>
      </extLst>
    </bk>
    <bk>
      <extLst>
        <ext uri="{3e2802c4-a4d2-4d8b-9148-e3be6c30e623}">
          <xlrd:rvb i="1280"/>
        </ext>
      </extLst>
    </bk>
    <bk>
      <extLst>
        <ext uri="{3e2802c4-a4d2-4d8b-9148-e3be6c30e623}">
          <xlrd:rvb i="1281"/>
        </ext>
      </extLst>
    </bk>
    <bk>
      <extLst>
        <ext uri="{3e2802c4-a4d2-4d8b-9148-e3be6c30e623}">
          <xlrd:rvb i="1282"/>
        </ext>
      </extLst>
    </bk>
    <bk>
      <extLst>
        <ext uri="{3e2802c4-a4d2-4d8b-9148-e3be6c30e623}">
          <xlrd:rvb i="1283"/>
        </ext>
      </extLst>
    </bk>
    <bk>
      <extLst>
        <ext uri="{3e2802c4-a4d2-4d8b-9148-e3be6c30e623}">
          <xlrd:rvb i="1284"/>
        </ext>
      </extLst>
    </bk>
    <bk>
      <extLst>
        <ext uri="{3e2802c4-a4d2-4d8b-9148-e3be6c30e623}">
          <xlrd:rvb i="1285"/>
        </ext>
      </extLst>
    </bk>
    <bk>
      <extLst>
        <ext uri="{3e2802c4-a4d2-4d8b-9148-e3be6c30e623}">
          <xlrd:rvb i="1286"/>
        </ext>
      </extLst>
    </bk>
    <bk>
      <extLst>
        <ext uri="{3e2802c4-a4d2-4d8b-9148-e3be6c30e623}">
          <xlrd:rvb i="1287"/>
        </ext>
      </extLst>
    </bk>
    <bk>
      <extLst>
        <ext uri="{3e2802c4-a4d2-4d8b-9148-e3be6c30e623}">
          <xlrd:rvb i="1288"/>
        </ext>
      </extLst>
    </bk>
    <bk>
      <extLst>
        <ext uri="{3e2802c4-a4d2-4d8b-9148-e3be6c30e623}">
          <xlrd:rvb i="1289"/>
        </ext>
      </extLst>
    </bk>
    <bk>
      <extLst>
        <ext uri="{3e2802c4-a4d2-4d8b-9148-e3be6c30e623}">
          <xlrd:rvb i="1290"/>
        </ext>
      </extLst>
    </bk>
    <bk>
      <extLst>
        <ext uri="{3e2802c4-a4d2-4d8b-9148-e3be6c30e623}">
          <xlrd:rvb i="1291"/>
        </ext>
      </extLst>
    </bk>
    <bk>
      <extLst>
        <ext uri="{3e2802c4-a4d2-4d8b-9148-e3be6c30e623}">
          <xlrd:rvb i="1292"/>
        </ext>
      </extLst>
    </bk>
    <bk>
      <extLst>
        <ext uri="{3e2802c4-a4d2-4d8b-9148-e3be6c30e623}">
          <xlrd:rvb i="1293"/>
        </ext>
      </extLst>
    </bk>
    <bk>
      <extLst>
        <ext uri="{3e2802c4-a4d2-4d8b-9148-e3be6c30e623}">
          <xlrd:rvb i="1294"/>
        </ext>
      </extLst>
    </bk>
    <bk>
      <extLst>
        <ext uri="{3e2802c4-a4d2-4d8b-9148-e3be6c30e623}">
          <xlrd:rvb i="1295"/>
        </ext>
      </extLst>
    </bk>
    <bk>
      <extLst>
        <ext uri="{3e2802c4-a4d2-4d8b-9148-e3be6c30e623}">
          <xlrd:rvb i="1296"/>
        </ext>
      </extLst>
    </bk>
    <bk>
      <extLst>
        <ext uri="{3e2802c4-a4d2-4d8b-9148-e3be6c30e623}">
          <xlrd:rvb i="1297"/>
        </ext>
      </extLst>
    </bk>
    <bk>
      <extLst>
        <ext uri="{3e2802c4-a4d2-4d8b-9148-e3be6c30e623}">
          <xlrd:rvb i="1298"/>
        </ext>
      </extLst>
    </bk>
    <bk>
      <extLst>
        <ext uri="{3e2802c4-a4d2-4d8b-9148-e3be6c30e623}">
          <xlrd:rvb i="1299"/>
        </ext>
      </extLst>
    </bk>
    <bk>
      <extLst>
        <ext uri="{3e2802c4-a4d2-4d8b-9148-e3be6c30e623}">
          <xlrd:rvb i="1300"/>
        </ext>
      </extLst>
    </bk>
    <bk>
      <extLst>
        <ext uri="{3e2802c4-a4d2-4d8b-9148-e3be6c30e623}">
          <xlrd:rvb i="1301"/>
        </ext>
      </extLst>
    </bk>
    <bk>
      <extLst>
        <ext uri="{3e2802c4-a4d2-4d8b-9148-e3be6c30e623}">
          <xlrd:rvb i="1302"/>
        </ext>
      </extLst>
    </bk>
    <bk>
      <extLst>
        <ext uri="{3e2802c4-a4d2-4d8b-9148-e3be6c30e623}">
          <xlrd:rvb i="1303"/>
        </ext>
      </extLst>
    </bk>
    <bk>
      <extLst>
        <ext uri="{3e2802c4-a4d2-4d8b-9148-e3be6c30e623}">
          <xlrd:rvb i="1304"/>
        </ext>
      </extLst>
    </bk>
    <bk>
      <extLst>
        <ext uri="{3e2802c4-a4d2-4d8b-9148-e3be6c30e623}">
          <xlrd:rvb i="1305"/>
        </ext>
      </extLst>
    </bk>
    <bk>
      <extLst>
        <ext uri="{3e2802c4-a4d2-4d8b-9148-e3be6c30e623}">
          <xlrd:rvb i="1306"/>
        </ext>
      </extLst>
    </bk>
    <bk>
      <extLst>
        <ext uri="{3e2802c4-a4d2-4d8b-9148-e3be6c30e623}">
          <xlrd:rvb i="1307"/>
        </ext>
      </extLst>
    </bk>
    <bk>
      <extLst>
        <ext uri="{3e2802c4-a4d2-4d8b-9148-e3be6c30e623}">
          <xlrd:rvb i="1308"/>
        </ext>
      </extLst>
    </bk>
    <bk>
      <extLst>
        <ext uri="{3e2802c4-a4d2-4d8b-9148-e3be6c30e623}">
          <xlrd:rvb i="1309"/>
        </ext>
      </extLst>
    </bk>
    <bk>
      <extLst>
        <ext uri="{3e2802c4-a4d2-4d8b-9148-e3be6c30e623}">
          <xlrd:rvb i="1310"/>
        </ext>
      </extLst>
    </bk>
    <bk>
      <extLst>
        <ext uri="{3e2802c4-a4d2-4d8b-9148-e3be6c30e623}">
          <xlrd:rvb i="1311"/>
        </ext>
      </extLst>
    </bk>
    <bk>
      <extLst>
        <ext uri="{3e2802c4-a4d2-4d8b-9148-e3be6c30e623}">
          <xlrd:rvb i="1312"/>
        </ext>
      </extLst>
    </bk>
    <bk>
      <extLst>
        <ext uri="{3e2802c4-a4d2-4d8b-9148-e3be6c30e623}">
          <xlrd:rvb i="1313"/>
        </ext>
      </extLst>
    </bk>
    <bk>
      <extLst>
        <ext uri="{3e2802c4-a4d2-4d8b-9148-e3be6c30e623}">
          <xlrd:rvb i="1314"/>
        </ext>
      </extLst>
    </bk>
    <bk>
      <extLst>
        <ext uri="{3e2802c4-a4d2-4d8b-9148-e3be6c30e623}">
          <xlrd:rvb i="1315"/>
        </ext>
      </extLst>
    </bk>
    <bk>
      <extLst>
        <ext uri="{3e2802c4-a4d2-4d8b-9148-e3be6c30e623}">
          <xlrd:rvb i="1316"/>
        </ext>
      </extLst>
    </bk>
    <bk>
      <extLst>
        <ext uri="{3e2802c4-a4d2-4d8b-9148-e3be6c30e623}">
          <xlrd:rvb i="1317"/>
        </ext>
      </extLst>
    </bk>
    <bk>
      <extLst>
        <ext uri="{3e2802c4-a4d2-4d8b-9148-e3be6c30e623}">
          <xlrd:rvb i="1318"/>
        </ext>
      </extLst>
    </bk>
    <bk>
      <extLst>
        <ext uri="{3e2802c4-a4d2-4d8b-9148-e3be6c30e623}">
          <xlrd:rvb i="1319"/>
        </ext>
      </extLst>
    </bk>
    <bk>
      <extLst>
        <ext uri="{3e2802c4-a4d2-4d8b-9148-e3be6c30e623}">
          <xlrd:rvb i="1320"/>
        </ext>
      </extLst>
    </bk>
    <bk>
      <extLst>
        <ext uri="{3e2802c4-a4d2-4d8b-9148-e3be6c30e623}">
          <xlrd:rvb i="1321"/>
        </ext>
      </extLst>
    </bk>
    <bk>
      <extLst>
        <ext uri="{3e2802c4-a4d2-4d8b-9148-e3be6c30e623}">
          <xlrd:rvb i="1322"/>
        </ext>
      </extLst>
    </bk>
    <bk>
      <extLst>
        <ext uri="{3e2802c4-a4d2-4d8b-9148-e3be6c30e623}">
          <xlrd:rvb i="1323"/>
        </ext>
      </extLst>
    </bk>
    <bk>
      <extLst>
        <ext uri="{3e2802c4-a4d2-4d8b-9148-e3be6c30e623}">
          <xlrd:rvb i="1324"/>
        </ext>
      </extLst>
    </bk>
    <bk>
      <extLst>
        <ext uri="{3e2802c4-a4d2-4d8b-9148-e3be6c30e623}">
          <xlrd:rvb i="1325"/>
        </ext>
      </extLst>
    </bk>
    <bk>
      <extLst>
        <ext uri="{3e2802c4-a4d2-4d8b-9148-e3be6c30e623}">
          <xlrd:rvb i="1326"/>
        </ext>
      </extLst>
    </bk>
    <bk>
      <extLst>
        <ext uri="{3e2802c4-a4d2-4d8b-9148-e3be6c30e623}">
          <xlrd:rvb i="1327"/>
        </ext>
      </extLst>
    </bk>
    <bk>
      <extLst>
        <ext uri="{3e2802c4-a4d2-4d8b-9148-e3be6c30e623}">
          <xlrd:rvb i="1328"/>
        </ext>
      </extLst>
    </bk>
    <bk>
      <extLst>
        <ext uri="{3e2802c4-a4d2-4d8b-9148-e3be6c30e623}">
          <xlrd:rvb i="1329"/>
        </ext>
      </extLst>
    </bk>
    <bk>
      <extLst>
        <ext uri="{3e2802c4-a4d2-4d8b-9148-e3be6c30e623}">
          <xlrd:rvb i="1330"/>
        </ext>
      </extLst>
    </bk>
    <bk>
      <extLst>
        <ext uri="{3e2802c4-a4d2-4d8b-9148-e3be6c30e623}">
          <xlrd:rvb i="1331"/>
        </ext>
      </extLst>
    </bk>
    <bk>
      <extLst>
        <ext uri="{3e2802c4-a4d2-4d8b-9148-e3be6c30e623}">
          <xlrd:rvb i="1332"/>
        </ext>
      </extLst>
    </bk>
    <bk>
      <extLst>
        <ext uri="{3e2802c4-a4d2-4d8b-9148-e3be6c30e623}">
          <xlrd:rvb i="1333"/>
        </ext>
      </extLst>
    </bk>
    <bk>
      <extLst>
        <ext uri="{3e2802c4-a4d2-4d8b-9148-e3be6c30e623}">
          <xlrd:rvb i="1334"/>
        </ext>
      </extLst>
    </bk>
    <bk>
      <extLst>
        <ext uri="{3e2802c4-a4d2-4d8b-9148-e3be6c30e623}">
          <xlrd:rvb i="1335"/>
        </ext>
      </extLst>
    </bk>
    <bk>
      <extLst>
        <ext uri="{3e2802c4-a4d2-4d8b-9148-e3be6c30e623}">
          <xlrd:rvb i="1336"/>
        </ext>
      </extLst>
    </bk>
    <bk>
      <extLst>
        <ext uri="{3e2802c4-a4d2-4d8b-9148-e3be6c30e623}">
          <xlrd:rvb i="1337"/>
        </ext>
      </extLst>
    </bk>
    <bk>
      <extLst>
        <ext uri="{3e2802c4-a4d2-4d8b-9148-e3be6c30e623}">
          <xlrd:rvb i="1338"/>
        </ext>
      </extLst>
    </bk>
    <bk>
      <extLst>
        <ext uri="{3e2802c4-a4d2-4d8b-9148-e3be6c30e623}">
          <xlrd:rvb i="1339"/>
        </ext>
      </extLst>
    </bk>
    <bk>
      <extLst>
        <ext uri="{3e2802c4-a4d2-4d8b-9148-e3be6c30e623}">
          <xlrd:rvb i="1340"/>
        </ext>
      </extLst>
    </bk>
    <bk>
      <extLst>
        <ext uri="{3e2802c4-a4d2-4d8b-9148-e3be6c30e623}">
          <xlrd:rvb i="1341"/>
        </ext>
      </extLst>
    </bk>
    <bk>
      <extLst>
        <ext uri="{3e2802c4-a4d2-4d8b-9148-e3be6c30e623}">
          <xlrd:rvb i="1342"/>
        </ext>
      </extLst>
    </bk>
    <bk>
      <extLst>
        <ext uri="{3e2802c4-a4d2-4d8b-9148-e3be6c30e623}">
          <xlrd:rvb i="1343"/>
        </ext>
      </extLst>
    </bk>
    <bk>
      <extLst>
        <ext uri="{3e2802c4-a4d2-4d8b-9148-e3be6c30e623}">
          <xlrd:rvb i="1344"/>
        </ext>
      </extLst>
    </bk>
    <bk>
      <extLst>
        <ext uri="{3e2802c4-a4d2-4d8b-9148-e3be6c30e623}">
          <xlrd:rvb i="1345"/>
        </ext>
      </extLst>
    </bk>
    <bk>
      <extLst>
        <ext uri="{3e2802c4-a4d2-4d8b-9148-e3be6c30e623}">
          <xlrd:rvb i="1346"/>
        </ext>
      </extLst>
    </bk>
    <bk>
      <extLst>
        <ext uri="{3e2802c4-a4d2-4d8b-9148-e3be6c30e623}">
          <xlrd:rvb i="1347"/>
        </ext>
      </extLst>
    </bk>
    <bk>
      <extLst>
        <ext uri="{3e2802c4-a4d2-4d8b-9148-e3be6c30e623}">
          <xlrd:rvb i="1348"/>
        </ext>
      </extLst>
    </bk>
    <bk>
      <extLst>
        <ext uri="{3e2802c4-a4d2-4d8b-9148-e3be6c30e623}">
          <xlrd:rvb i="1349"/>
        </ext>
      </extLst>
    </bk>
    <bk>
      <extLst>
        <ext uri="{3e2802c4-a4d2-4d8b-9148-e3be6c30e623}">
          <xlrd:rvb i="1350"/>
        </ext>
      </extLst>
    </bk>
    <bk>
      <extLst>
        <ext uri="{3e2802c4-a4d2-4d8b-9148-e3be6c30e623}">
          <xlrd:rvb i="1351"/>
        </ext>
      </extLst>
    </bk>
    <bk>
      <extLst>
        <ext uri="{3e2802c4-a4d2-4d8b-9148-e3be6c30e623}">
          <xlrd:rvb i="1352"/>
        </ext>
      </extLst>
    </bk>
    <bk>
      <extLst>
        <ext uri="{3e2802c4-a4d2-4d8b-9148-e3be6c30e623}">
          <xlrd:rvb i="1353"/>
        </ext>
      </extLst>
    </bk>
    <bk>
      <extLst>
        <ext uri="{3e2802c4-a4d2-4d8b-9148-e3be6c30e623}">
          <xlrd:rvb i="1354"/>
        </ext>
      </extLst>
    </bk>
    <bk>
      <extLst>
        <ext uri="{3e2802c4-a4d2-4d8b-9148-e3be6c30e623}">
          <xlrd:rvb i="1355"/>
        </ext>
      </extLst>
    </bk>
    <bk>
      <extLst>
        <ext uri="{3e2802c4-a4d2-4d8b-9148-e3be6c30e623}">
          <xlrd:rvb i="1356"/>
        </ext>
      </extLst>
    </bk>
    <bk>
      <extLst>
        <ext uri="{3e2802c4-a4d2-4d8b-9148-e3be6c30e623}">
          <xlrd:rvb i="1357"/>
        </ext>
      </extLst>
    </bk>
    <bk>
      <extLst>
        <ext uri="{3e2802c4-a4d2-4d8b-9148-e3be6c30e623}">
          <xlrd:rvb i="1358"/>
        </ext>
      </extLst>
    </bk>
    <bk>
      <extLst>
        <ext uri="{3e2802c4-a4d2-4d8b-9148-e3be6c30e623}">
          <xlrd:rvb i="1359"/>
        </ext>
      </extLst>
    </bk>
    <bk>
      <extLst>
        <ext uri="{3e2802c4-a4d2-4d8b-9148-e3be6c30e623}">
          <xlrd:rvb i="1360"/>
        </ext>
      </extLst>
    </bk>
    <bk>
      <extLst>
        <ext uri="{3e2802c4-a4d2-4d8b-9148-e3be6c30e623}">
          <xlrd:rvb i="1361"/>
        </ext>
      </extLst>
    </bk>
    <bk>
      <extLst>
        <ext uri="{3e2802c4-a4d2-4d8b-9148-e3be6c30e623}">
          <xlrd:rvb i="1362"/>
        </ext>
      </extLst>
    </bk>
    <bk>
      <extLst>
        <ext uri="{3e2802c4-a4d2-4d8b-9148-e3be6c30e623}">
          <xlrd:rvb i="1363"/>
        </ext>
      </extLst>
    </bk>
    <bk>
      <extLst>
        <ext uri="{3e2802c4-a4d2-4d8b-9148-e3be6c30e623}">
          <xlrd:rvb i="1364"/>
        </ext>
      </extLst>
    </bk>
    <bk>
      <extLst>
        <ext uri="{3e2802c4-a4d2-4d8b-9148-e3be6c30e623}">
          <xlrd:rvb i="1365"/>
        </ext>
      </extLst>
    </bk>
    <bk>
      <extLst>
        <ext uri="{3e2802c4-a4d2-4d8b-9148-e3be6c30e623}">
          <xlrd:rvb i="1366"/>
        </ext>
      </extLst>
    </bk>
    <bk>
      <extLst>
        <ext uri="{3e2802c4-a4d2-4d8b-9148-e3be6c30e623}">
          <xlrd:rvb i="1367"/>
        </ext>
      </extLst>
    </bk>
    <bk>
      <extLst>
        <ext uri="{3e2802c4-a4d2-4d8b-9148-e3be6c30e623}">
          <xlrd:rvb i="1368"/>
        </ext>
      </extLst>
    </bk>
    <bk>
      <extLst>
        <ext uri="{3e2802c4-a4d2-4d8b-9148-e3be6c30e623}">
          <xlrd:rvb i="1369"/>
        </ext>
      </extLst>
    </bk>
    <bk>
      <extLst>
        <ext uri="{3e2802c4-a4d2-4d8b-9148-e3be6c30e623}">
          <xlrd:rvb i="1370"/>
        </ext>
      </extLst>
    </bk>
    <bk>
      <extLst>
        <ext uri="{3e2802c4-a4d2-4d8b-9148-e3be6c30e623}">
          <xlrd:rvb i="1371"/>
        </ext>
      </extLst>
    </bk>
    <bk>
      <extLst>
        <ext uri="{3e2802c4-a4d2-4d8b-9148-e3be6c30e623}">
          <xlrd:rvb i="1372"/>
        </ext>
      </extLst>
    </bk>
    <bk>
      <extLst>
        <ext uri="{3e2802c4-a4d2-4d8b-9148-e3be6c30e623}">
          <xlrd:rvb i="1373"/>
        </ext>
      </extLst>
    </bk>
    <bk>
      <extLst>
        <ext uri="{3e2802c4-a4d2-4d8b-9148-e3be6c30e623}">
          <xlrd:rvb i="1374"/>
        </ext>
      </extLst>
    </bk>
    <bk>
      <extLst>
        <ext uri="{3e2802c4-a4d2-4d8b-9148-e3be6c30e623}">
          <xlrd:rvb i="1375"/>
        </ext>
      </extLst>
    </bk>
    <bk>
      <extLst>
        <ext uri="{3e2802c4-a4d2-4d8b-9148-e3be6c30e623}">
          <xlrd:rvb i="1376"/>
        </ext>
      </extLst>
    </bk>
    <bk>
      <extLst>
        <ext uri="{3e2802c4-a4d2-4d8b-9148-e3be6c30e623}">
          <xlrd:rvb i="1377"/>
        </ext>
      </extLst>
    </bk>
    <bk>
      <extLst>
        <ext uri="{3e2802c4-a4d2-4d8b-9148-e3be6c30e623}">
          <xlrd:rvb i="1378"/>
        </ext>
      </extLst>
    </bk>
    <bk>
      <extLst>
        <ext uri="{3e2802c4-a4d2-4d8b-9148-e3be6c30e623}">
          <xlrd:rvb i="1379"/>
        </ext>
      </extLst>
    </bk>
    <bk>
      <extLst>
        <ext uri="{3e2802c4-a4d2-4d8b-9148-e3be6c30e623}">
          <xlrd:rvb i="1380"/>
        </ext>
      </extLst>
    </bk>
    <bk>
      <extLst>
        <ext uri="{3e2802c4-a4d2-4d8b-9148-e3be6c30e623}">
          <xlrd:rvb i="1381"/>
        </ext>
      </extLst>
    </bk>
    <bk>
      <extLst>
        <ext uri="{3e2802c4-a4d2-4d8b-9148-e3be6c30e623}">
          <xlrd:rvb i="1382"/>
        </ext>
      </extLst>
    </bk>
    <bk>
      <extLst>
        <ext uri="{3e2802c4-a4d2-4d8b-9148-e3be6c30e623}">
          <xlrd:rvb i="1383"/>
        </ext>
      </extLst>
    </bk>
    <bk>
      <extLst>
        <ext uri="{3e2802c4-a4d2-4d8b-9148-e3be6c30e623}">
          <xlrd:rvb i="1384"/>
        </ext>
      </extLst>
    </bk>
    <bk>
      <extLst>
        <ext uri="{3e2802c4-a4d2-4d8b-9148-e3be6c30e623}">
          <xlrd:rvb i="1385"/>
        </ext>
      </extLst>
    </bk>
    <bk>
      <extLst>
        <ext uri="{3e2802c4-a4d2-4d8b-9148-e3be6c30e623}">
          <xlrd:rvb i="1386"/>
        </ext>
      </extLst>
    </bk>
    <bk>
      <extLst>
        <ext uri="{3e2802c4-a4d2-4d8b-9148-e3be6c30e623}">
          <xlrd:rvb i="1387"/>
        </ext>
      </extLst>
    </bk>
    <bk>
      <extLst>
        <ext uri="{3e2802c4-a4d2-4d8b-9148-e3be6c30e623}">
          <xlrd:rvb i="1388"/>
        </ext>
      </extLst>
    </bk>
    <bk>
      <extLst>
        <ext uri="{3e2802c4-a4d2-4d8b-9148-e3be6c30e623}">
          <xlrd:rvb i="1389"/>
        </ext>
      </extLst>
    </bk>
    <bk>
      <extLst>
        <ext uri="{3e2802c4-a4d2-4d8b-9148-e3be6c30e623}">
          <xlrd:rvb i="1390"/>
        </ext>
      </extLst>
    </bk>
    <bk>
      <extLst>
        <ext uri="{3e2802c4-a4d2-4d8b-9148-e3be6c30e623}">
          <xlrd:rvb i="1391"/>
        </ext>
      </extLst>
    </bk>
    <bk>
      <extLst>
        <ext uri="{3e2802c4-a4d2-4d8b-9148-e3be6c30e623}">
          <xlrd:rvb i="1392"/>
        </ext>
      </extLst>
    </bk>
    <bk>
      <extLst>
        <ext uri="{3e2802c4-a4d2-4d8b-9148-e3be6c30e623}">
          <xlrd:rvb i="1393"/>
        </ext>
      </extLst>
    </bk>
    <bk>
      <extLst>
        <ext uri="{3e2802c4-a4d2-4d8b-9148-e3be6c30e623}">
          <xlrd:rvb i="1394"/>
        </ext>
      </extLst>
    </bk>
    <bk>
      <extLst>
        <ext uri="{3e2802c4-a4d2-4d8b-9148-e3be6c30e623}">
          <xlrd:rvb i="1395"/>
        </ext>
      </extLst>
    </bk>
    <bk>
      <extLst>
        <ext uri="{3e2802c4-a4d2-4d8b-9148-e3be6c30e623}">
          <xlrd:rvb i="1396"/>
        </ext>
      </extLst>
    </bk>
    <bk>
      <extLst>
        <ext uri="{3e2802c4-a4d2-4d8b-9148-e3be6c30e623}">
          <xlrd:rvb i="1397"/>
        </ext>
      </extLst>
    </bk>
    <bk>
      <extLst>
        <ext uri="{3e2802c4-a4d2-4d8b-9148-e3be6c30e623}">
          <xlrd:rvb i="1398"/>
        </ext>
      </extLst>
    </bk>
    <bk>
      <extLst>
        <ext uri="{3e2802c4-a4d2-4d8b-9148-e3be6c30e623}">
          <xlrd:rvb i="1399"/>
        </ext>
      </extLst>
    </bk>
    <bk>
      <extLst>
        <ext uri="{3e2802c4-a4d2-4d8b-9148-e3be6c30e623}">
          <xlrd:rvb i="1400"/>
        </ext>
      </extLst>
    </bk>
    <bk>
      <extLst>
        <ext uri="{3e2802c4-a4d2-4d8b-9148-e3be6c30e623}">
          <xlrd:rvb i="1401"/>
        </ext>
      </extLst>
    </bk>
    <bk>
      <extLst>
        <ext uri="{3e2802c4-a4d2-4d8b-9148-e3be6c30e623}">
          <xlrd:rvb i="1402"/>
        </ext>
      </extLst>
    </bk>
    <bk>
      <extLst>
        <ext uri="{3e2802c4-a4d2-4d8b-9148-e3be6c30e623}">
          <xlrd:rvb i="1403"/>
        </ext>
      </extLst>
    </bk>
    <bk>
      <extLst>
        <ext uri="{3e2802c4-a4d2-4d8b-9148-e3be6c30e623}">
          <xlrd:rvb i="1404"/>
        </ext>
      </extLst>
    </bk>
    <bk>
      <extLst>
        <ext uri="{3e2802c4-a4d2-4d8b-9148-e3be6c30e623}">
          <xlrd:rvb i="1405"/>
        </ext>
      </extLst>
    </bk>
    <bk>
      <extLst>
        <ext uri="{3e2802c4-a4d2-4d8b-9148-e3be6c30e623}">
          <xlrd:rvb i="1406"/>
        </ext>
      </extLst>
    </bk>
    <bk>
      <extLst>
        <ext uri="{3e2802c4-a4d2-4d8b-9148-e3be6c30e623}">
          <xlrd:rvb i="1407"/>
        </ext>
      </extLst>
    </bk>
    <bk>
      <extLst>
        <ext uri="{3e2802c4-a4d2-4d8b-9148-e3be6c30e623}">
          <xlrd:rvb i="1408"/>
        </ext>
      </extLst>
    </bk>
    <bk>
      <extLst>
        <ext uri="{3e2802c4-a4d2-4d8b-9148-e3be6c30e623}">
          <xlrd:rvb i="1409"/>
        </ext>
      </extLst>
    </bk>
    <bk>
      <extLst>
        <ext uri="{3e2802c4-a4d2-4d8b-9148-e3be6c30e623}">
          <xlrd:rvb i="1410"/>
        </ext>
      </extLst>
    </bk>
    <bk>
      <extLst>
        <ext uri="{3e2802c4-a4d2-4d8b-9148-e3be6c30e623}">
          <xlrd:rvb i="1411"/>
        </ext>
      </extLst>
    </bk>
    <bk>
      <extLst>
        <ext uri="{3e2802c4-a4d2-4d8b-9148-e3be6c30e623}">
          <xlrd:rvb i="1412"/>
        </ext>
      </extLst>
    </bk>
    <bk>
      <extLst>
        <ext uri="{3e2802c4-a4d2-4d8b-9148-e3be6c30e623}">
          <xlrd:rvb i="1413"/>
        </ext>
      </extLst>
    </bk>
    <bk>
      <extLst>
        <ext uri="{3e2802c4-a4d2-4d8b-9148-e3be6c30e623}">
          <xlrd:rvb i="1414"/>
        </ext>
      </extLst>
    </bk>
    <bk>
      <extLst>
        <ext uri="{3e2802c4-a4d2-4d8b-9148-e3be6c30e623}">
          <xlrd:rvb i="1415"/>
        </ext>
      </extLst>
    </bk>
    <bk>
      <extLst>
        <ext uri="{3e2802c4-a4d2-4d8b-9148-e3be6c30e623}">
          <xlrd:rvb i="1416"/>
        </ext>
      </extLst>
    </bk>
    <bk>
      <extLst>
        <ext uri="{3e2802c4-a4d2-4d8b-9148-e3be6c30e623}">
          <xlrd:rvb i="1417"/>
        </ext>
      </extLst>
    </bk>
    <bk>
      <extLst>
        <ext uri="{3e2802c4-a4d2-4d8b-9148-e3be6c30e623}">
          <xlrd:rvb i="1418"/>
        </ext>
      </extLst>
    </bk>
    <bk>
      <extLst>
        <ext uri="{3e2802c4-a4d2-4d8b-9148-e3be6c30e623}">
          <xlrd:rvb i="1419"/>
        </ext>
      </extLst>
    </bk>
    <bk>
      <extLst>
        <ext uri="{3e2802c4-a4d2-4d8b-9148-e3be6c30e623}">
          <xlrd:rvb i="1420"/>
        </ext>
      </extLst>
    </bk>
    <bk>
      <extLst>
        <ext uri="{3e2802c4-a4d2-4d8b-9148-e3be6c30e623}">
          <xlrd:rvb i="1421"/>
        </ext>
      </extLst>
    </bk>
    <bk>
      <extLst>
        <ext uri="{3e2802c4-a4d2-4d8b-9148-e3be6c30e623}">
          <xlrd:rvb i="1422"/>
        </ext>
      </extLst>
    </bk>
    <bk>
      <extLst>
        <ext uri="{3e2802c4-a4d2-4d8b-9148-e3be6c30e623}">
          <xlrd:rvb i="1423"/>
        </ext>
      </extLst>
    </bk>
    <bk>
      <extLst>
        <ext uri="{3e2802c4-a4d2-4d8b-9148-e3be6c30e623}">
          <xlrd:rvb i="1424"/>
        </ext>
      </extLst>
    </bk>
    <bk>
      <extLst>
        <ext uri="{3e2802c4-a4d2-4d8b-9148-e3be6c30e623}">
          <xlrd:rvb i="1425"/>
        </ext>
      </extLst>
    </bk>
    <bk>
      <extLst>
        <ext uri="{3e2802c4-a4d2-4d8b-9148-e3be6c30e623}">
          <xlrd:rvb i="1426"/>
        </ext>
      </extLst>
    </bk>
    <bk>
      <extLst>
        <ext uri="{3e2802c4-a4d2-4d8b-9148-e3be6c30e623}">
          <xlrd:rvb i="1427"/>
        </ext>
      </extLst>
    </bk>
    <bk>
      <extLst>
        <ext uri="{3e2802c4-a4d2-4d8b-9148-e3be6c30e623}">
          <xlrd:rvb i="1428"/>
        </ext>
      </extLst>
    </bk>
    <bk>
      <extLst>
        <ext uri="{3e2802c4-a4d2-4d8b-9148-e3be6c30e623}">
          <xlrd:rvb i="1429"/>
        </ext>
      </extLst>
    </bk>
    <bk>
      <extLst>
        <ext uri="{3e2802c4-a4d2-4d8b-9148-e3be6c30e623}">
          <xlrd:rvb i="1430"/>
        </ext>
      </extLst>
    </bk>
    <bk>
      <extLst>
        <ext uri="{3e2802c4-a4d2-4d8b-9148-e3be6c30e623}">
          <xlrd:rvb i="1431"/>
        </ext>
      </extLst>
    </bk>
    <bk>
      <extLst>
        <ext uri="{3e2802c4-a4d2-4d8b-9148-e3be6c30e623}">
          <xlrd:rvb i="1432"/>
        </ext>
      </extLst>
    </bk>
    <bk>
      <extLst>
        <ext uri="{3e2802c4-a4d2-4d8b-9148-e3be6c30e623}">
          <xlrd:rvb i="1433"/>
        </ext>
      </extLst>
    </bk>
    <bk>
      <extLst>
        <ext uri="{3e2802c4-a4d2-4d8b-9148-e3be6c30e623}">
          <xlrd:rvb i="1434"/>
        </ext>
      </extLst>
    </bk>
    <bk>
      <extLst>
        <ext uri="{3e2802c4-a4d2-4d8b-9148-e3be6c30e623}">
          <xlrd:rvb i="1435"/>
        </ext>
      </extLst>
    </bk>
    <bk>
      <extLst>
        <ext uri="{3e2802c4-a4d2-4d8b-9148-e3be6c30e623}">
          <xlrd:rvb i="1436"/>
        </ext>
      </extLst>
    </bk>
    <bk>
      <extLst>
        <ext uri="{3e2802c4-a4d2-4d8b-9148-e3be6c30e623}">
          <xlrd:rvb i="1437"/>
        </ext>
      </extLst>
    </bk>
    <bk>
      <extLst>
        <ext uri="{3e2802c4-a4d2-4d8b-9148-e3be6c30e623}">
          <xlrd:rvb i="1438"/>
        </ext>
      </extLst>
    </bk>
    <bk>
      <extLst>
        <ext uri="{3e2802c4-a4d2-4d8b-9148-e3be6c30e623}">
          <xlrd:rvb i="1439"/>
        </ext>
      </extLst>
    </bk>
    <bk>
      <extLst>
        <ext uri="{3e2802c4-a4d2-4d8b-9148-e3be6c30e623}">
          <xlrd:rvb i="1440"/>
        </ext>
      </extLst>
    </bk>
    <bk>
      <extLst>
        <ext uri="{3e2802c4-a4d2-4d8b-9148-e3be6c30e623}">
          <xlrd:rvb i="1441"/>
        </ext>
      </extLst>
    </bk>
    <bk>
      <extLst>
        <ext uri="{3e2802c4-a4d2-4d8b-9148-e3be6c30e623}">
          <xlrd:rvb i="1442"/>
        </ext>
      </extLst>
    </bk>
    <bk>
      <extLst>
        <ext uri="{3e2802c4-a4d2-4d8b-9148-e3be6c30e623}">
          <xlrd:rvb i="1443"/>
        </ext>
      </extLst>
    </bk>
    <bk>
      <extLst>
        <ext uri="{3e2802c4-a4d2-4d8b-9148-e3be6c30e623}">
          <xlrd:rvb i="1444"/>
        </ext>
      </extLst>
    </bk>
    <bk>
      <extLst>
        <ext uri="{3e2802c4-a4d2-4d8b-9148-e3be6c30e623}">
          <xlrd:rvb i="1445"/>
        </ext>
      </extLst>
    </bk>
    <bk>
      <extLst>
        <ext uri="{3e2802c4-a4d2-4d8b-9148-e3be6c30e623}">
          <xlrd:rvb i="1446"/>
        </ext>
      </extLst>
    </bk>
    <bk>
      <extLst>
        <ext uri="{3e2802c4-a4d2-4d8b-9148-e3be6c30e623}">
          <xlrd:rvb i="1447"/>
        </ext>
      </extLst>
    </bk>
    <bk>
      <extLst>
        <ext uri="{3e2802c4-a4d2-4d8b-9148-e3be6c30e623}">
          <xlrd:rvb i="1448"/>
        </ext>
      </extLst>
    </bk>
    <bk>
      <extLst>
        <ext uri="{3e2802c4-a4d2-4d8b-9148-e3be6c30e623}">
          <xlrd:rvb i="1449"/>
        </ext>
      </extLst>
    </bk>
    <bk>
      <extLst>
        <ext uri="{3e2802c4-a4d2-4d8b-9148-e3be6c30e623}">
          <xlrd:rvb i="1450"/>
        </ext>
      </extLst>
    </bk>
    <bk>
      <extLst>
        <ext uri="{3e2802c4-a4d2-4d8b-9148-e3be6c30e623}">
          <xlrd:rvb i="1451"/>
        </ext>
      </extLst>
    </bk>
    <bk>
      <extLst>
        <ext uri="{3e2802c4-a4d2-4d8b-9148-e3be6c30e623}">
          <xlrd:rvb i="1452"/>
        </ext>
      </extLst>
    </bk>
    <bk>
      <extLst>
        <ext uri="{3e2802c4-a4d2-4d8b-9148-e3be6c30e623}">
          <xlrd:rvb i="1453"/>
        </ext>
      </extLst>
    </bk>
    <bk>
      <extLst>
        <ext uri="{3e2802c4-a4d2-4d8b-9148-e3be6c30e623}">
          <xlrd:rvb i="1454"/>
        </ext>
      </extLst>
    </bk>
    <bk>
      <extLst>
        <ext uri="{3e2802c4-a4d2-4d8b-9148-e3be6c30e623}">
          <xlrd:rvb i="1455"/>
        </ext>
      </extLst>
    </bk>
    <bk>
      <extLst>
        <ext uri="{3e2802c4-a4d2-4d8b-9148-e3be6c30e623}">
          <xlrd:rvb i="1456"/>
        </ext>
      </extLst>
    </bk>
    <bk>
      <extLst>
        <ext uri="{3e2802c4-a4d2-4d8b-9148-e3be6c30e623}">
          <xlrd:rvb i="1457"/>
        </ext>
      </extLst>
    </bk>
    <bk>
      <extLst>
        <ext uri="{3e2802c4-a4d2-4d8b-9148-e3be6c30e623}">
          <xlrd:rvb i="1458"/>
        </ext>
      </extLst>
    </bk>
    <bk>
      <extLst>
        <ext uri="{3e2802c4-a4d2-4d8b-9148-e3be6c30e623}">
          <xlrd:rvb i="1459"/>
        </ext>
      </extLst>
    </bk>
    <bk>
      <extLst>
        <ext uri="{3e2802c4-a4d2-4d8b-9148-e3be6c30e623}">
          <xlrd:rvb i="1460"/>
        </ext>
      </extLst>
    </bk>
    <bk>
      <extLst>
        <ext uri="{3e2802c4-a4d2-4d8b-9148-e3be6c30e623}">
          <xlrd:rvb i="1461"/>
        </ext>
      </extLst>
    </bk>
    <bk>
      <extLst>
        <ext uri="{3e2802c4-a4d2-4d8b-9148-e3be6c30e623}">
          <xlrd:rvb i="1462"/>
        </ext>
      </extLst>
    </bk>
    <bk>
      <extLst>
        <ext uri="{3e2802c4-a4d2-4d8b-9148-e3be6c30e623}">
          <xlrd:rvb i="1463"/>
        </ext>
      </extLst>
    </bk>
    <bk>
      <extLst>
        <ext uri="{3e2802c4-a4d2-4d8b-9148-e3be6c30e623}">
          <xlrd:rvb i="1464"/>
        </ext>
      </extLst>
    </bk>
    <bk>
      <extLst>
        <ext uri="{3e2802c4-a4d2-4d8b-9148-e3be6c30e623}">
          <xlrd:rvb i="1465"/>
        </ext>
      </extLst>
    </bk>
    <bk>
      <extLst>
        <ext uri="{3e2802c4-a4d2-4d8b-9148-e3be6c30e623}">
          <xlrd:rvb i="1466"/>
        </ext>
      </extLst>
    </bk>
    <bk>
      <extLst>
        <ext uri="{3e2802c4-a4d2-4d8b-9148-e3be6c30e623}">
          <xlrd:rvb i="1467"/>
        </ext>
      </extLst>
    </bk>
    <bk>
      <extLst>
        <ext uri="{3e2802c4-a4d2-4d8b-9148-e3be6c30e623}">
          <xlrd:rvb i="1468"/>
        </ext>
      </extLst>
    </bk>
    <bk>
      <extLst>
        <ext uri="{3e2802c4-a4d2-4d8b-9148-e3be6c30e623}">
          <xlrd:rvb i="1469"/>
        </ext>
      </extLst>
    </bk>
    <bk>
      <extLst>
        <ext uri="{3e2802c4-a4d2-4d8b-9148-e3be6c30e623}">
          <xlrd:rvb i="1470"/>
        </ext>
      </extLst>
    </bk>
    <bk>
      <extLst>
        <ext uri="{3e2802c4-a4d2-4d8b-9148-e3be6c30e623}">
          <xlrd:rvb i="1471"/>
        </ext>
      </extLst>
    </bk>
    <bk>
      <extLst>
        <ext uri="{3e2802c4-a4d2-4d8b-9148-e3be6c30e623}">
          <xlrd:rvb i="1472"/>
        </ext>
      </extLst>
    </bk>
    <bk>
      <extLst>
        <ext uri="{3e2802c4-a4d2-4d8b-9148-e3be6c30e623}">
          <xlrd:rvb i="1473"/>
        </ext>
      </extLst>
    </bk>
    <bk>
      <extLst>
        <ext uri="{3e2802c4-a4d2-4d8b-9148-e3be6c30e623}">
          <xlrd:rvb i="1474"/>
        </ext>
      </extLst>
    </bk>
    <bk>
      <extLst>
        <ext uri="{3e2802c4-a4d2-4d8b-9148-e3be6c30e623}">
          <xlrd:rvb i="1475"/>
        </ext>
      </extLst>
    </bk>
    <bk>
      <extLst>
        <ext uri="{3e2802c4-a4d2-4d8b-9148-e3be6c30e623}">
          <xlrd:rvb i="1476"/>
        </ext>
      </extLst>
    </bk>
    <bk>
      <extLst>
        <ext uri="{3e2802c4-a4d2-4d8b-9148-e3be6c30e623}">
          <xlrd:rvb i="1477"/>
        </ext>
      </extLst>
    </bk>
    <bk>
      <extLst>
        <ext uri="{3e2802c4-a4d2-4d8b-9148-e3be6c30e623}">
          <xlrd:rvb i="1478"/>
        </ext>
      </extLst>
    </bk>
    <bk>
      <extLst>
        <ext uri="{3e2802c4-a4d2-4d8b-9148-e3be6c30e623}">
          <xlrd:rvb i="1479"/>
        </ext>
      </extLst>
    </bk>
    <bk>
      <extLst>
        <ext uri="{3e2802c4-a4d2-4d8b-9148-e3be6c30e623}">
          <xlrd:rvb i="1480"/>
        </ext>
      </extLst>
    </bk>
    <bk>
      <extLst>
        <ext uri="{3e2802c4-a4d2-4d8b-9148-e3be6c30e623}">
          <xlrd:rvb i="1481"/>
        </ext>
      </extLst>
    </bk>
    <bk>
      <extLst>
        <ext uri="{3e2802c4-a4d2-4d8b-9148-e3be6c30e623}">
          <xlrd:rvb i="1482"/>
        </ext>
      </extLst>
    </bk>
    <bk>
      <extLst>
        <ext uri="{3e2802c4-a4d2-4d8b-9148-e3be6c30e623}">
          <xlrd:rvb i="1483"/>
        </ext>
      </extLst>
    </bk>
    <bk>
      <extLst>
        <ext uri="{3e2802c4-a4d2-4d8b-9148-e3be6c30e623}">
          <xlrd:rvb i="1484"/>
        </ext>
      </extLst>
    </bk>
    <bk>
      <extLst>
        <ext uri="{3e2802c4-a4d2-4d8b-9148-e3be6c30e623}">
          <xlrd:rvb i="1485"/>
        </ext>
      </extLst>
    </bk>
    <bk>
      <extLst>
        <ext uri="{3e2802c4-a4d2-4d8b-9148-e3be6c30e623}">
          <xlrd:rvb i="1486"/>
        </ext>
      </extLst>
    </bk>
    <bk>
      <extLst>
        <ext uri="{3e2802c4-a4d2-4d8b-9148-e3be6c30e623}">
          <xlrd:rvb i="1487"/>
        </ext>
      </extLst>
    </bk>
    <bk>
      <extLst>
        <ext uri="{3e2802c4-a4d2-4d8b-9148-e3be6c30e623}">
          <xlrd:rvb i="1488"/>
        </ext>
      </extLst>
    </bk>
    <bk>
      <extLst>
        <ext uri="{3e2802c4-a4d2-4d8b-9148-e3be6c30e623}">
          <xlrd:rvb i="1489"/>
        </ext>
      </extLst>
    </bk>
    <bk>
      <extLst>
        <ext uri="{3e2802c4-a4d2-4d8b-9148-e3be6c30e623}">
          <xlrd:rvb i="1490"/>
        </ext>
      </extLst>
    </bk>
    <bk>
      <extLst>
        <ext uri="{3e2802c4-a4d2-4d8b-9148-e3be6c30e623}">
          <xlrd:rvb i="1491"/>
        </ext>
      </extLst>
    </bk>
    <bk>
      <extLst>
        <ext uri="{3e2802c4-a4d2-4d8b-9148-e3be6c30e623}">
          <xlrd:rvb i="1492"/>
        </ext>
      </extLst>
    </bk>
    <bk>
      <extLst>
        <ext uri="{3e2802c4-a4d2-4d8b-9148-e3be6c30e623}">
          <xlrd:rvb i="1493"/>
        </ext>
      </extLst>
    </bk>
    <bk>
      <extLst>
        <ext uri="{3e2802c4-a4d2-4d8b-9148-e3be6c30e623}">
          <xlrd:rvb i="1494"/>
        </ext>
      </extLst>
    </bk>
    <bk>
      <extLst>
        <ext uri="{3e2802c4-a4d2-4d8b-9148-e3be6c30e623}">
          <xlrd:rvb i="1495"/>
        </ext>
      </extLst>
    </bk>
    <bk>
      <extLst>
        <ext uri="{3e2802c4-a4d2-4d8b-9148-e3be6c30e623}">
          <xlrd:rvb i="1496"/>
        </ext>
      </extLst>
    </bk>
    <bk>
      <extLst>
        <ext uri="{3e2802c4-a4d2-4d8b-9148-e3be6c30e623}">
          <xlrd:rvb i="1497"/>
        </ext>
      </extLst>
    </bk>
    <bk>
      <extLst>
        <ext uri="{3e2802c4-a4d2-4d8b-9148-e3be6c30e623}">
          <xlrd:rvb i="1498"/>
        </ext>
      </extLst>
    </bk>
    <bk>
      <extLst>
        <ext uri="{3e2802c4-a4d2-4d8b-9148-e3be6c30e623}">
          <xlrd:rvb i="1499"/>
        </ext>
      </extLst>
    </bk>
    <bk>
      <extLst>
        <ext uri="{3e2802c4-a4d2-4d8b-9148-e3be6c30e623}">
          <xlrd:rvb i="1500"/>
        </ext>
      </extLst>
    </bk>
    <bk>
      <extLst>
        <ext uri="{3e2802c4-a4d2-4d8b-9148-e3be6c30e623}">
          <xlrd:rvb i="1501"/>
        </ext>
      </extLst>
    </bk>
    <bk>
      <extLst>
        <ext uri="{3e2802c4-a4d2-4d8b-9148-e3be6c30e623}">
          <xlrd:rvb i="1502"/>
        </ext>
      </extLst>
    </bk>
    <bk>
      <extLst>
        <ext uri="{3e2802c4-a4d2-4d8b-9148-e3be6c30e623}">
          <xlrd:rvb i="1503"/>
        </ext>
      </extLst>
    </bk>
    <bk>
      <extLst>
        <ext uri="{3e2802c4-a4d2-4d8b-9148-e3be6c30e623}">
          <xlrd:rvb i="1504"/>
        </ext>
      </extLst>
    </bk>
    <bk>
      <extLst>
        <ext uri="{3e2802c4-a4d2-4d8b-9148-e3be6c30e623}">
          <xlrd:rvb i="1505"/>
        </ext>
      </extLst>
    </bk>
    <bk>
      <extLst>
        <ext uri="{3e2802c4-a4d2-4d8b-9148-e3be6c30e623}">
          <xlrd:rvb i="1506"/>
        </ext>
      </extLst>
    </bk>
    <bk>
      <extLst>
        <ext uri="{3e2802c4-a4d2-4d8b-9148-e3be6c30e623}">
          <xlrd:rvb i="1507"/>
        </ext>
      </extLst>
    </bk>
    <bk>
      <extLst>
        <ext uri="{3e2802c4-a4d2-4d8b-9148-e3be6c30e623}">
          <xlrd:rvb i="1508"/>
        </ext>
      </extLst>
    </bk>
    <bk>
      <extLst>
        <ext uri="{3e2802c4-a4d2-4d8b-9148-e3be6c30e623}">
          <xlrd:rvb i="1509"/>
        </ext>
      </extLst>
    </bk>
    <bk>
      <extLst>
        <ext uri="{3e2802c4-a4d2-4d8b-9148-e3be6c30e623}">
          <xlrd:rvb i="1510"/>
        </ext>
      </extLst>
    </bk>
    <bk>
      <extLst>
        <ext uri="{3e2802c4-a4d2-4d8b-9148-e3be6c30e623}">
          <xlrd:rvb i="1511"/>
        </ext>
      </extLst>
    </bk>
    <bk>
      <extLst>
        <ext uri="{3e2802c4-a4d2-4d8b-9148-e3be6c30e623}">
          <xlrd:rvb i="1512"/>
        </ext>
      </extLst>
    </bk>
    <bk>
      <extLst>
        <ext uri="{3e2802c4-a4d2-4d8b-9148-e3be6c30e623}">
          <xlrd:rvb i="1513"/>
        </ext>
      </extLst>
    </bk>
    <bk>
      <extLst>
        <ext uri="{3e2802c4-a4d2-4d8b-9148-e3be6c30e623}">
          <xlrd:rvb i="1514"/>
        </ext>
      </extLst>
    </bk>
    <bk>
      <extLst>
        <ext uri="{3e2802c4-a4d2-4d8b-9148-e3be6c30e623}">
          <xlrd:rvb i="1515"/>
        </ext>
      </extLst>
    </bk>
    <bk>
      <extLst>
        <ext uri="{3e2802c4-a4d2-4d8b-9148-e3be6c30e623}">
          <xlrd:rvb i="1516"/>
        </ext>
      </extLst>
    </bk>
    <bk>
      <extLst>
        <ext uri="{3e2802c4-a4d2-4d8b-9148-e3be6c30e623}">
          <xlrd:rvb i="1517"/>
        </ext>
      </extLst>
    </bk>
    <bk>
      <extLst>
        <ext uri="{3e2802c4-a4d2-4d8b-9148-e3be6c30e623}">
          <xlrd:rvb i="1518"/>
        </ext>
      </extLst>
    </bk>
    <bk>
      <extLst>
        <ext uri="{3e2802c4-a4d2-4d8b-9148-e3be6c30e623}">
          <xlrd:rvb i="1519"/>
        </ext>
      </extLst>
    </bk>
    <bk>
      <extLst>
        <ext uri="{3e2802c4-a4d2-4d8b-9148-e3be6c30e623}">
          <xlrd:rvb i="1520"/>
        </ext>
      </extLst>
    </bk>
    <bk>
      <extLst>
        <ext uri="{3e2802c4-a4d2-4d8b-9148-e3be6c30e623}">
          <xlrd:rvb i="1521"/>
        </ext>
      </extLst>
    </bk>
    <bk>
      <extLst>
        <ext uri="{3e2802c4-a4d2-4d8b-9148-e3be6c30e623}">
          <xlrd:rvb i="1522"/>
        </ext>
      </extLst>
    </bk>
    <bk>
      <extLst>
        <ext uri="{3e2802c4-a4d2-4d8b-9148-e3be6c30e623}">
          <xlrd:rvb i="1523"/>
        </ext>
      </extLst>
    </bk>
    <bk>
      <extLst>
        <ext uri="{3e2802c4-a4d2-4d8b-9148-e3be6c30e623}">
          <xlrd:rvb i="1524"/>
        </ext>
      </extLst>
    </bk>
    <bk>
      <extLst>
        <ext uri="{3e2802c4-a4d2-4d8b-9148-e3be6c30e623}">
          <xlrd:rvb i="1525"/>
        </ext>
      </extLst>
    </bk>
    <bk>
      <extLst>
        <ext uri="{3e2802c4-a4d2-4d8b-9148-e3be6c30e623}">
          <xlrd:rvb i="1526"/>
        </ext>
      </extLst>
    </bk>
    <bk>
      <extLst>
        <ext uri="{3e2802c4-a4d2-4d8b-9148-e3be6c30e623}">
          <xlrd:rvb i="1527"/>
        </ext>
      </extLst>
    </bk>
    <bk>
      <extLst>
        <ext uri="{3e2802c4-a4d2-4d8b-9148-e3be6c30e623}">
          <xlrd:rvb i="1528"/>
        </ext>
      </extLst>
    </bk>
    <bk>
      <extLst>
        <ext uri="{3e2802c4-a4d2-4d8b-9148-e3be6c30e623}">
          <xlrd:rvb i="1529"/>
        </ext>
      </extLst>
    </bk>
    <bk>
      <extLst>
        <ext uri="{3e2802c4-a4d2-4d8b-9148-e3be6c30e623}">
          <xlrd:rvb i="1530"/>
        </ext>
      </extLst>
    </bk>
    <bk>
      <extLst>
        <ext uri="{3e2802c4-a4d2-4d8b-9148-e3be6c30e623}">
          <xlrd:rvb i="1531"/>
        </ext>
      </extLst>
    </bk>
    <bk>
      <extLst>
        <ext uri="{3e2802c4-a4d2-4d8b-9148-e3be6c30e623}">
          <xlrd:rvb i="1532"/>
        </ext>
      </extLst>
    </bk>
    <bk>
      <extLst>
        <ext uri="{3e2802c4-a4d2-4d8b-9148-e3be6c30e623}">
          <xlrd:rvb i="1533"/>
        </ext>
      </extLst>
    </bk>
    <bk>
      <extLst>
        <ext uri="{3e2802c4-a4d2-4d8b-9148-e3be6c30e623}">
          <xlrd:rvb i="1534"/>
        </ext>
      </extLst>
    </bk>
    <bk>
      <extLst>
        <ext uri="{3e2802c4-a4d2-4d8b-9148-e3be6c30e623}">
          <xlrd:rvb i="1535"/>
        </ext>
      </extLst>
    </bk>
    <bk>
      <extLst>
        <ext uri="{3e2802c4-a4d2-4d8b-9148-e3be6c30e623}">
          <xlrd:rvb i="1536"/>
        </ext>
      </extLst>
    </bk>
    <bk>
      <extLst>
        <ext uri="{3e2802c4-a4d2-4d8b-9148-e3be6c30e623}">
          <xlrd:rvb i="1537"/>
        </ext>
      </extLst>
    </bk>
    <bk>
      <extLst>
        <ext uri="{3e2802c4-a4d2-4d8b-9148-e3be6c30e623}">
          <xlrd:rvb i="1538"/>
        </ext>
      </extLst>
    </bk>
    <bk>
      <extLst>
        <ext uri="{3e2802c4-a4d2-4d8b-9148-e3be6c30e623}">
          <xlrd:rvb i="1539"/>
        </ext>
      </extLst>
    </bk>
    <bk>
      <extLst>
        <ext uri="{3e2802c4-a4d2-4d8b-9148-e3be6c30e623}">
          <xlrd:rvb i="1540"/>
        </ext>
      </extLst>
    </bk>
    <bk>
      <extLst>
        <ext uri="{3e2802c4-a4d2-4d8b-9148-e3be6c30e623}">
          <xlrd:rvb i="1541"/>
        </ext>
      </extLst>
    </bk>
    <bk>
      <extLst>
        <ext uri="{3e2802c4-a4d2-4d8b-9148-e3be6c30e623}">
          <xlrd:rvb i="1542"/>
        </ext>
      </extLst>
    </bk>
    <bk>
      <extLst>
        <ext uri="{3e2802c4-a4d2-4d8b-9148-e3be6c30e623}">
          <xlrd:rvb i="1543"/>
        </ext>
      </extLst>
    </bk>
    <bk>
      <extLst>
        <ext uri="{3e2802c4-a4d2-4d8b-9148-e3be6c30e623}">
          <xlrd:rvb i="1544"/>
        </ext>
      </extLst>
    </bk>
    <bk>
      <extLst>
        <ext uri="{3e2802c4-a4d2-4d8b-9148-e3be6c30e623}">
          <xlrd:rvb i="1545"/>
        </ext>
      </extLst>
    </bk>
    <bk>
      <extLst>
        <ext uri="{3e2802c4-a4d2-4d8b-9148-e3be6c30e623}">
          <xlrd:rvb i="1546"/>
        </ext>
      </extLst>
    </bk>
    <bk>
      <extLst>
        <ext uri="{3e2802c4-a4d2-4d8b-9148-e3be6c30e623}">
          <xlrd:rvb i="1547"/>
        </ext>
      </extLst>
    </bk>
    <bk>
      <extLst>
        <ext uri="{3e2802c4-a4d2-4d8b-9148-e3be6c30e623}">
          <xlrd:rvb i="1548"/>
        </ext>
      </extLst>
    </bk>
    <bk>
      <extLst>
        <ext uri="{3e2802c4-a4d2-4d8b-9148-e3be6c30e623}">
          <xlrd:rvb i="1549"/>
        </ext>
      </extLst>
    </bk>
    <bk>
      <extLst>
        <ext uri="{3e2802c4-a4d2-4d8b-9148-e3be6c30e623}">
          <xlrd:rvb i="1550"/>
        </ext>
      </extLst>
    </bk>
    <bk>
      <extLst>
        <ext uri="{3e2802c4-a4d2-4d8b-9148-e3be6c30e623}">
          <xlrd:rvb i="1551"/>
        </ext>
      </extLst>
    </bk>
    <bk>
      <extLst>
        <ext uri="{3e2802c4-a4d2-4d8b-9148-e3be6c30e623}">
          <xlrd:rvb i="1552"/>
        </ext>
      </extLst>
    </bk>
    <bk>
      <extLst>
        <ext uri="{3e2802c4-a4d2-4d8b-9148-e3be6c30e623}">
          <xlrd:rvb i="1553"/>
        </ext>
      </extLst>
    </bk>
    <bk>
      <extLst>
        <ext uri="{3e2802c4-a4d2-4d8b-9148-e3be6c30e623}">
          <xlrd:rvb i="1554"/>
        </ext>
      </extLst>
    </bk>
    <bk>
      <extLst>
        <ext uri="{3e2802c4-a4d2-4d8b-9148-e3be6c30e623}">
          <xlrd:rvb i="1555"/>
        </ext>
      </extLst>
    </bk>
    <bk>
      <extLst>
        <ext uri="{3e2802c4-a4d2-4d8b-9148-e3be6c30e623}">
          <xlrd:rvb i="1556"/>
        </ext>
      </extLst>
    </bk>
    <bk>
      <extLst>
        <ext uri="{3e2802c4-a4d2-4d8b-9148-e3be6c30e623}">
          <xlrd:rvb i="1557"/>
        </ext>
      </extLst>
    </bk>
    <bk>
      <extLst>
        <ext uri="{3e2802c4-a4d2-4d8b-9148-e3be6c30e623}">
          <xlrd:rvb i="1558"/>
        </ext>
      </extLst>
    </bk>
    <bk>
      <extLst>
        <ext uri="{3e2802c4-a4d2-4d8b-9148-e3be6c30e623}">
          <xlrd:rvb i="1559"/>
        </ext>
      </extLst>
    </bk>
    <bk>
      <extLst>
        <ext uri="{3e2802c4-a4d2-4d8b-9148-e3be6c30e623}">
          <xlrd:rvb i="1560"/>
        </ext>
      </extLst>
    </bk>
    <bk>
      <extLst>
        <ext uri="{3e2802c4-a4d2-4d8b-9148-e3be6c30e623}">
          <xlrd:rvb i="1561"/>
        </ext>
      </extLst>
    </bk>
    <bk>
      <extLst>
        <ext uri="{3e2802c4-a4d2-4d8b-9148-e3be6c30e623}">
          <xlrd:rvb i="1562"/>
        </ext>
      </extLst>
    </bk>
    <bk>
      <extLst>
        <ext uri="{3e2802c4-a4d2-4d8b-9148-e3be6c30e623}">
          <xlrd:rvb i="1563"/>
        </ext>
      </extLst>
    </bk>
    <bk>
      <extLst>
        <ext uri="{3e2802c4-a4d2-4d8b-9148-e3be6c30e623}">
          <xlrd:rvb i="1564"/>
        </ext>
      </extLst>
    </bk>
    <bk>
      <extLst>
        <ext uri="{3e2802c4-a4d2-4d8b-9148-e3be6c30e623}">
          <xlrd:rvb i="1565"/>
        </ext>
      </extLst>
    </bk>
    <bk>
      <extLst>
        <ext uri="{3e2802c4-a4d2-4d8b-9148-e3be6c30e623}">
          <xlrd:rvb i="1566"/>
        </ext>
      </extLst>
    </bk>
    <bk>
      <extLst>
        <ext uri="{3e2802c4-a4d2-4d8b-9148-e3be6c30e623}">
          <xlrd:rvb i="1567"/>
        </ext>
      </extLst>
    </bk>
    <bk>
      <extLst>
        <ext uri="{3e2802c4-a4d2-4d8b-9148-e3be6c30e623}">
          <xlrd:rvb i="1568"/>
        </ext>
      </extLst>
    </bk>
    <bk>
      <extLst>
        <ext uri="{3e2802c4-a4d2-4d8b-9148-e3be6c30e623}">
          <xlrd:rvb i="1569"/>
        </ext>
      </extLst>
    </bk>
    <bk>
      <extLst>
        <ext uri="{3e2802c4-a4d2-4d8b-9148-e3be6c30e623}">
          <xlrd:rvb i="1570"/>
        </ext>
      </extLst>
    </bk>
    <bk>
      <extLst>
        <ext uri="{3e2802c4-a4d2-4d8b-9148-e3be6c30e623}">
          <xlrd:rvb i="1571"/>
        </ext>
      </extLst>
    </bk>
    <bk>
      <extLst>
        <ext uri="{3e2802c4-a4d2-4d8b-9148-e3be6c30e623}">
          <xlrd:rvb i="1572"/>
        </ext>
      </extLst>
    </bk>
    <bk>
      <extLst>
        <ext uri="{3e2802c4-a4d2-4d8b-9148-e3be6c30e623}">
          <xlrd:rvb i="1573"/>
        </ext>
      </extLst>
    </bk>
    <bk>
      <extLst>
        <ext uri="{3e2802c4-a4d2-4d8b-9148-e3be6c30e623}">
          <xlrd:rvb i="1574"/>
        </ext>
      </extLst>
    </bk>
    <bk>
      <extLst>
        <ext uri="{3e2802c4-a4d2-4d8b-9148-e3be6c30e623}">
          <xlrd:rvb i="1575"/>
        </ext>
      </extLst>
    </bk>
    <bk>
      <extLst>
        <ext uri="{3e2802c4-a4d2-4d8b-9148-e3be6c30e623}">
          <xlrd:rvb i="1576"/>
        </ext>
      </extLst>
    </bk>
    <bk>
      <extLst>
        <ext uri="{3e2802c4-a4d2-4d8b-9148-e3be6c30e623}">
          <xlrd:rvb i="1577"/>
        </ext>
      </extLst>
    </bk>
    <bk>
      <extLst>
        <ext uri="{3e2802c4-a4d2-4d8b-9148-e3be6c30e623}">
          <xlrd:rvb i="1578"/>
        </ext>
      </extLst>
    </bk>
    <bk>
      <extLst>
        <ext uri="{3e2802c4-a4d2-4d8b-9148-e3be6c30e623}">
          <xlrd:rvb i="1579"/>
        </ext>
      </extLst>
    </bk>
    <bk>
      <extLst>
        <ext uri="{3e2802c4-a4d2-4d8b-9148-e3be6c30e623}">
          <xlrd:rvb i="1580"/>
        </ext>
      </extLst>
    </bk>
    <bk>
      <extLst>
        <ext uri="{3e2802c4-a4d2-4d8b-9148-e3be6c30e623}">
          <xlrd:rvb i="1581"/>
        </ext>
      </extLst>
    </bk>
    <bk>
      <extLst>
        <ext uri="{3e2802c4-a4d2-4d8b-9148-e3be6c30e623}">
          <xlrd:rvb i="1582"/>
        </ext>
      </extLst>
    </bk>
    <bk>
      <extLst>
        <ext uri="{3e2802c4-a4d2-4d8b-9148-e3be6c30e623}">
          <xlrd:rvb i="1583"/>
        </ext>
      </extLst>
    </bk>
    <bk>
      <extLst>
        <ext uri="{3e2802c4-a4d2-4d8b-9148-e3be6c30e623}">
          <xlrd:rvb i="1584"/>
        </ext>
      </extLst>
    </bk>
    <bk>
      <extLst>
        <ext uri="{3e2802c4-a4d2-4d8b-9148-e3be6c30e623}">
          <xlrd:rvb i="1585"/>
        </ext>
      </extLst>
    </bk>
    <bk>
      <extLst>
        <ext uri="{3e2802c4-a4d2-4d8b-9148-e3be6c30e623}">
          <xlrd:rvb i="1586"/>
        </ext>
      </extLst>
    </bk>
    <bk>
      <extLst>
        <ext uri="{3e2802c4-a4d2-4d8b-9148-e3be6c30e623}">
          <xlrd:rvb i="1587"/>
        </ext>
      </extLst>
    </bk>
    <bk>
      <extLst>
        <ext uri="{3e2802c4-a4d2-4d8b-9148-e3be6c30e623}">
          <xlrd:rvb i="1588"/>
        </ext>
      </extLst>
    </bk>
    <bk>
      <extLst>
        <ext uri="{3e2802c4-a4d2-4d8b-9148-e3be6c30e623}">
          <xlrd:rvb i="1589"/>
        </ext>
      </extLst>
    </bk>
    <bk>
      <extLst>
        <ext uri="{3e2802c4-a4d2-4d8b-9148-e3be6c30e623}">
          <xlrd:rvb i="1590"/>
        </ext>
      </extLst>
    </bk>
    <bk>
      <extLst>
        <ext uri="{3e2802c4-a4d2-4d8b-9148-e3be6c30e623}">
          <xlrd:rvb i="1591"/>
        </ext>
      </extLst>
    </bk>
    <bk>
      <extLst>
        <ext uri="{3e2802c4-a4d2-4d8b-9148-e3be6c30e623}">
          <xlrd:rvb i="1592"/>
        </ext>
      </extLst>
    </bk>
    <bk>
      <extLst>
        <ext uri="{3e2802c4-a4d2-4d8b-9148-e3be6c30e623}">
          <xlrd:rvb i="1593"/>
        </ext>
      </extLst>
    </bk>
    <bk>
      <extLst>
        <ext uri="{3e2802c4-a4d2-4d8b-9148-e3be6c30e623}">
          <xlrd:rvb i="1594"/>
        </ext>
      </extLst>
    </bk>
    <bk>
      <extLst>
        <ext uri="{3e2802c4-a4d2-4d8b-9148-e3be6c30e623}">
          <xlrd:rvb i="1595"/>
        </ext>
      </extLst>
    </bk>
    <bk>
      <extLst>
        <ext uri="{3e2802c4-a4d2-4d8b-9148-e3be6c30e623}">
          <xlrd:rvb i="1596"/>
        </ext>
      </extLst>
    </bk>
    <bk>
      <extLst>
        <ext uri="{3e2802c4-a4d2-4d8b-9148-e3be6c30e623}">
          <xlrd:rvb i="1597"/>
        </ext>
      </extLst>
    </bk>
    <bk>
      <extLst>
        <ext uri="{3e2802c4-a4d2-4d8b-9148-e3be6c30e623}">
          <xlrd:rvb i="1598"/>
        </ext>
      </extLst>
    </bk>
    <bk>
      <extLst>
        <ext uri="{3e2802c4-a4d2-4d8b-9148-e3be6c30e623}">
          <xlrd:rvb i="1599"/>
        </ext>
      </extLst>
    </bk>
    <bk>
      <extLst>
        <ext uri="{3e2802c4-a4d2-4d8b-9148-e3be6c30e623}">
          <xlrd:rvb i="1600"/>
        </ext>
      </extLst>
    </bk>
    <bk>
      <extLst>
        <ext uri="{3e2802c4-a4d2-4d8b-9148-e3be6c30e623}">
          <xlrd:rvb i="1601"/>
        </ext>
      </extLst>
    </bk>
    <bk>
      <extLst>
        <ext uri="{3e2802c4-a4d2-4d8b-9148-e3be6c30e623}">
          <xlrd:rvb i="1602"/>
        </ext>
      </extLst>
    </bk>
    <bk>
      <extLst>
        <ext uri="{3e2802c4-a4d2-4d8b-9148-e3be6c30e623}">
          <xlrd:rvb i="1603"/>
        </ext>
      </extLst>
    </bk>
    <bk>
      <extLst>
        <ext uri="{3e2802c4-a4d2-4d8b-9148-e3be6c30e623}">
          <xlrd:rvb i="1604"/>
        </ext>
      </extLst>
    </bk>
    <bk>
      <extLst>
        <ext uri="{3e2802c4-a4d2-4d8b-9148-e3be6c30e623}">
          <xlrd:rvb i="1605"/>
        </ext>
      </extLst>
    </bk>
    <bk>
      <extLst>
        <ext uri="{3e2802c4-a4d2-4d8b-9148-e3be6c30e623}">
          <xlrd:rvb i="1606"/>
        </ext>
      </extLst>
    </bk>
    <bk>
      <extLst>
        <ext uri="{3e2802c4-a4d2-4d8b-9148-e3be6c30e623}">
          <xlrd:rvb i="1607"/>
        </ext>
      </extLst>
    </bk>
    <bk>
      <extLst>
        <ext uri="{3e2802c4-a4d2-4d8b-9148-e3be6c30e623}">
          <xlrd:rvb i="1608"/>
        </ext>
      </extLst>
    </bk>
    <bk>
      <extLst>
        <ext uri="{3e2802c4-a4d2-4d8b-9148-e3be6c30e623}">
          <xlrd:rvb i="1609"/>
        </ext>
      </extLst>
    </bk>
    <bk>
      <extLst>
        <ext uri="{3e2802c4-a4d2-4d8b-9148-e3be6c30e623}">
          <xlrd:rvb i="1610"/>
        </ext>
      </extLst>
    </bk>
    <bk>
      <extLst>
        <ext uri="{3e2802c4-a4d2-4d8b-9148-e3be6c30e623}">
          <xlrd:rvb i="1611"/>
        </ext>
      </extLst>
    </bk>
    <bk>
      <extLst>
        <ext uri="{3e2802c4-a4d2-4d8b-9148-e3be6c30e623}">
          <xlrd:rvb i="1612"/>
        </ext>
      </extLst>
    </bk>
    <bk>
      <extLst>
        <ext uri="{3e2802c4-a4d2-4d8b-9148-e3be6c30e623}">
          <xlrd:rvb i="1613"/>
        </ext>
      </extLst>
    </bk>
    <bk>
      <extLst>
        <ext uri="{3e2802c4-a4d2-4d8b-9148-e3be6c30e623}">
          <xlrd:rvb i="1614"/>
        </ext>
      </extLst>
    </bk>
    <bk>
      <extLst>
        <ext uri="{3e2802c4-a4d2-4d8b-9148-e3be6c30e623}">
          <xlrd:rvb i="1615"/>
        </ext>
      </extLst>
    </bk>
    <bk>
      <extLst>
        <ext uri="{3e2802c4-a4d2-4d8b-9148-e3be6c30e623}">
          <xlrd:rvb i="1616"/>
        </ext>
      </extLst>
    </bk>
    <bk>
      <extLst>
        <ext uri="{3e2802c4-a4d2-4d8b-9148-e3be6c30e623}">
          <xlrd:rvb i="1617"/>
        </ext>
      </extLst>
    </bk>
    <bk>
      <extLst>
        <ext uri="{3e2802c4-a4d2-4d8b-9148-e3be6c30e623}">
          <xlrd:rvb i="1618"/>
        </ext>
      </extLst>
    </bk>
    <bk>
      <extLst>
        <ext uri="{3e2802c4-a4d2-4d8b-9148-e3be6c30e623}">
          <xlrd:rvb i="1619"/>
        </ext>
      </extLst>
    </bk>
    <bk>
      <extLst>
        <ext uri="{3e2802c4-a4d2-4d8b-9148-e3be6c30e623}">
          <xlrd:rvb i="1620"/>
        </ext>
      </extLst>
    </bk>
    <bk>
      <extLst>
        <ext uri="{3e2802c4-a4d2-4d8b-9148-e3be6c30e623}">
          <xlrd:rvb i="1621"/>
        </ext>
      </extLst>
    </bk>
    <bk>
      <extLst>
        <ext uri="{3e2802c4-a4d2-4d8b-9148-e3be6c30e623}">
          <xlrd:rvb i="1622"/>
        </ext>
      </extLst>
    </bk>
    <bk>
      <extLst>
        <ext uri="{3e2802c4-a4d2-4d8b-9148-e3be6c30e623}">
          <xlrd:rvb i="1623"/>
        </ext>
      </extLst>
    </bk>
    <bk>
      <extLst>
        <ext uri="{3e2802c4-a4d2-4d8b-9148-e3be6c30e623}">
          <xlrd:rvb i="1624"/>
        </ext>
      </extLst>
    </bk>
    <bk>
      <extLst>
        <ext uri="{3e2802c4-a4d2-4d8b-9148-e3be6c30e623}">
          <xlrd:rvb i="1625"/>
        </ext>
      </extLst>
    </bk>
    <bk>
      <extLst>
        <ext uri="{3e2802c4-a4d2-4d8b-9148-e3be6c30e623}">
          <xlrd:rvb i="1626"/>
        </ext>
      </extLst>
    </bk>
    <bk>
      <extLst>
        <ext uri="{3e2802c4-a4d2-4d8b-9148-e3be6c30e623}">
          <xlrd:rvb i="1627"/>
        </ext>
      </extLst>
    </bk>
    <bk>
      <extLst>
        <ext uri="{3e2802c4-a4d2-4d8b-9148-e3be6c30e623}">
          <xlrd:rvb i="1628"/>
        </ext>
      </extLst>
    </bk>
    <bk>
      <extLst>
        <ext uri="{3e2802c4-a4d2-4d8b-9148-e3be6c30e623}">
          <xlrd:rvb i="1629"/>
        </ext>
      </extLst>
    </bk>
    <bk>
      <extLst>
        <ext uri="{3e2802c4-a4d2-4d8b-9148-e3be6c30e623}">
          <xlrd:rvb i="1630"/>
        </ext>
      </extLst>
    </bk>
    <bk>
      <extLst>
        <ext uri="{3e2802c4-a4d2-4d8b-9148-e3be6c30e623}">
          <xlrd:rvb i="1631"/>
        </ext>
      </extLst>
    </bk>
    <bk>
      <extLst>
        <ext uri="{3e2802c4-a4d2-4d8b-9148-e3be6c30e623}">
          <xlrd:rvb i="1632"/>
        </ext>
      </extLst>
    </bk>
    <bk>
      <extLst>
        <ext uri="{3e2802c4-a4d2-4d8b-9148-e3be6c30e623}">
          <xlrd:rvb i="1633"/>
        </ext>
      </extLst>
    </bk>
    <bk>
      <extLst>
        <ext uri="{3e2802c4-a4d2-4d8b-9148-e3be6c30e623}">
          <xlrd:rvb i="1634"/>
        </ext>
      </extLst>
    </bk>
    <bk>
      <extLst>
        <ext uri="{3e2802c4-a4d2-4d8b-9148-e3be6c30e623}">
          <xlrd:rvb i="1635"/>
        </ext>
      </extLst>
    </bk>
    <bk>
      <extLst>
        <ext uri="{3e2802c4-a4d2-4d8b-9148-e3be6c30e623}">
          <xlrd:rvb i="1636"/>
        </ext>
      </extLst>
    </bk>
    <bk>
      <extLst>
        <ext uri="{3e2802c4-a4d2-4d8b-9148-e3be6c30e623}">
          <xlrd:rvb i="1637"/>
        </ext>
      </extLst>
    </bk>
    <bk>
      <extLst>
        <ext uri="{3e2802c4-a4d2-4d8b-9148-e3be6c30e623}">
          <xlrd:rvb i="1638"/>
        </ext>
      </extLst>
    </bk>
    <bk>
      <extLst>
        <ext uri="{3e2802c4-a4d2-4d8b-9148-e3be6c30e623}">
          <xlrd:rvb i="1639"/>
        </ext>
      </extLst>
    </bk>
    <bk>
      <extLst>
        <ext uri="{3e2802c4-a4d2-4d8b-9148-e3be6c30e623}">
          <xlrd:rvb i="1640"/>
        </ext>
      </extLst>
    </bk>
    <bk>
      <extLst>
        <ext uri="{3e2802c4-a4d2-4d8b-9148-e3be6c30e623}">
          <xlrd:rvb i="1641"/>
        </ext>
      </extLst>
    </bk>
    <bk>
      <extLst>
        <ext uri="{3e2802c4-a4d2-4d8b-9148-e3be6c30e623}">
          <xlrd:rvb i="1642"/>
        </ext>
      </extLst>
    </bk>
    <bk>
      <extLst>
        <ext uri="{3e2802c4-a4d2-4d8b-9148-e3be6c30e623}">
          <xlrd:rvb i="1643"/>
        </ext>
      </extLst>
    </bk>
    <bk>
      <extLst>
        <ext uri="{3e2802c4-a4d2-4d8b-9148-e3be6c30e623}">
          <xlrd:rvb i="1644"/>
        </ext>
      </extLst>
    </bk>
    <bk>
      <extLst>
        <ext uri="{3e2802c4-a4d2-4d8b-9148-e3be6c30e623}">
          <xlrd:rvb i="1645"/>
        </ext>
      </extLst>
    </bk>
    <bk>
      <extLst>
        <ext uri="{3e2802c4-a4d2-4d8b-9148-e3be6c30e623}">
          <xlrd:rvb i="1646"/>
        </ext>
      </extLst>
    </bk>
    <bk>
      <extLst>
        <ext uri="{3e2802c4-a4d2-4d8b-9148-e3be6c30e623}">
          <xlrd:rvb i="1647"/>
        </ext>
      </extLst>
    </bk>
    <bk>
      <extLst>
        <ext uri="{3e2802c4-a4d2-4d8b-9148-e3be6c30e623}">
          <xlrd:rvb i="1648"/>
        </ext>
      </extLst>
    </bk>
    <bk>
      <extLst>
        <ext uri="{3e2802c4-a4d2-4d8b-9148-e3be6c30e623}">
          <xlrd:rvb i="1649"/>
        </ext>
      </extLst>
    </bk>
    <bk>
      <extLst>
        <ext uri="{3e2802c4-a4d2-4d8b-9148-e3be6c30e623}">
          <xlrd:rvb i="1650"/>
        </ext>
      </extLst>
    </bk>
    <bk>
      <extLst>
        <ext uri="{3e2802c4-a4d2-4d8b-9148-e3be6c30e623}">
          <xlrd:rvb i="1651"/>
        </ext>
      </extLst>
    </bk>
    <bk>
      <extLst>
        <ext uri="{3e2802c4-a4d2-4d8b-9148-e3be6c30e623}">
          <xlrd:rvb i="1652"/>
        </ext>
      </extLst>
    </bk>
    <bk>
      <extLst>
        <ext uri="{3e2802c4-a4d2-4d8b-9148-e3be6c30e623}">
          <xlrd:rvb i="1653"/>
        </ext>
      </extLst>
    </bk>
    <bk>
      <extLst>
        <ext uri="{3e2802c4-a4d2-4d8b-9148-e3be6c30e623}">
          <xlrd:rvb i="1654"/>
        </ext>
      </extLst>
    </bk>
    <bk>
      <extLst>
        <ext uri="{3e2802c4-a4d2-4d8b-9148-e3be6c30e623}">
          <xlrd:rvb i="1655"/>
        </ext>
      </extLst>
    </bk>
    <bk>
      <extLst>
        <ext uri="{3e2802c4-a4d2-4d8b-9148-e3be6c30e623}">
          <xlrd:rvb i="1656"/>
        </ext>
      </extLst>
    </bk>
    <bk>
      <extLst>
        <ext uri="{3e2802c4-a4d2-4d8b-9148-e3be6c30e623}">
          <xlrd:rvb i="1657"/>
        </ext>
      </extLst>
    </bk>
    <bk>
      <extLst>
        <ext uri="{3e2802c4-a4d2-4d8b-9148-e3be6c30e623}">
          <xlrd:rvb i="1658"/>
        </ext>
      </extLst>
    </bk>
    <bk>
      <extLst>
        <ext uri="{3e2802c4-a4d2-4d8b-9148-e3be6c30e623}">
          <xlrd:rvb i="1659"/>
        </ext>
      </extLst>
    </bk>
    <bk>
      <extLst>
        <ext uri="{3e2802c4-a4d2-4d8b-9148-e3be6c30e623}">
          <xlrd:rvb i="1660"/>
        </ext>
      </extLst>
    </bk>
    <bk>
      <extLst>
        <ext uri="{3e2802c4-a4d2-4d8b-9148-e3be6c30e623}">
          <xlrd:rvb i="1661"/>
        </ext>
      </extLst>
    </bk>
    <bk>
      <extLst>
        <ext uri="{3e2802c4-a4d2-4d8b-9148-e3be6c30e623}">
          <xlrd:rvb i="1662"/>
        </ext>
      </extLst>
    </bk>
    <bk>
      <extLst>
        <ext uri="{3e2802c4-a4d2-4d8b-9148-e3be6c30e623}">
          <xlrd:rvb i="1663"/>
        </ext>
      </extLst>
    </bk>
    <bk>
      <extLst>
        <ext uri="{3e2802c4-a4d2-4d8b-9148-e3be6c30e623}">
          <xlrd:rvb i="1664"/>
        </ext>
      </extLst>
    </bk>
    <bk>
      <extLst>
        <ext uri="{3e2802c4-a4d2-4d8b-9148-e3be6c30e623}">
          <xlrd:rvb i="1665"/>
        </ext>
      </extLst>
    </bk>
    <bk>
      <extLst>
        <ext uri="{3e2802c4-a4d2-4d8b-9148-e3be6c30e623}">
          <xlrd:rvb i="1666"/>
        </ext>
      </extLst>
    </bk>
    <bk>
      <extLst>
        <ext uri="{3e2802c4-a4d2-4d8b-9148-e3be6c30e623}">
          <xlrd:rvb i="1667"/>
        </ext>
      </extLst>
    </bk>
    <bk>
      <extLst>
        <ext uri="{3e2802c4-a4d2-4d8b-9148-e3be6c30e623}">
          <xlrd:rvb i="1668"/>
        </ext>
      </extLst>
    </bk>
    <bk>
      <extLst>
        <ext uri="{3e2802c4-a4d2-4d8b-9148-e3be6c30e623}">
          <xlrd:rvb i="1669"/>
        </ext>
      </extLst>
    </bk>
    <bk>
      <extLst>
        <ext uri="{3e2802c4-a4d2-4d8b-9148-e3be6c30e623}">
          <xlrd:rvb i="1670"/>
        </ext>
      </extLst>
    </bk>
    <bk>
      <extLst>
        <ext uri="{3e2802c4-a4d2-4d8b-9148-e3be6c30e623}">
          <xlrd:rvb i="1671"/>
        </ext>
      </extLst>
    </bk>
    <bk>
      <extLst>
        <ext uri="{3e2802c4-a4d2-4d8b-9148-e3be6c30e623}">
          <xlrd:rvb i="1672"/>
        </ext>
      </extLst>
    </bk>
    <bk>
      <extLst>
        <ext uri="{3e2802c4-a4d2-4d8b-9148-e3be6c30e623}">
          <xlrd:rvb i="1673"/>
        </ext>
      </extLst>
    </bk>
    <bk>
      <extLst>
        <ext uri="{3e2802c4-a4d2-4d8b-9148-e3be6c30e623}">
          <xlrd:rvb i="1674"/>
        </ext>
      </extLst>
    </bk>
    <bk>
      <extLst>
        <ext uri="{3e2802c4-a4d2-4d8b-9148-e3be6c30e623}">
          <xlrd:rvb i="1675"/>
        </ext>
      </extLst>
    </bk>
    <bk>
      <extLst>
        <ext uri="{3e2802c4-a4d2-4d8b-9148-e3be6c30e623}">
          <xlrd:rvb i="1676"/>
        </ext>
      </extLst>
    </bk>
    <bk>
      <extLst>
        <ext uri="{3e2802c4-a4d2-4d8b-9148-e3be6c30e623}">
          <xlrd:rvb i="1677"/>
        </ext>
      </extLst>
    </bk>
    <bk>
      <extLst>
        <ext uri="{3e2802c4-a4d2-4d8b-9148-e3be6c30e623}">
          <xlrd:rvb i="1678"/>
        </ext>
      </extLst>
    </bk>
    <bk>
      <extLst>
        <ext uri="{3e2802c4-a4d2-4d8b-9148-e3be6c30e623}">
          <xlrd:rvb i="1679"/>
        </ext>
      </extLst>
    </bk>
    <bk>
      <extLst>
        <ext uri="{3e2802c4-a4d2-4d8b-9148-e3be6c30e623}">
          <xlrd:rvb i="1680"/>
        </ext>
      </extLst>
    </bk>
    <bk>
      <extLst>
        <ext uri="{3e2802c4-a4d2-4d8b-9148-e3be6c30e623}">
          <xlrd:rvb i="1681"/>
        </ext>
      </extLst>
    </bk>
    <bk>
      <extLst>
        <ext uri="{3e2802c4-a4d2-4d8b-9148-e3be6c30e623}">
          <xlrd:rvb i="1682"/>
        </ext>
      </extLst>
    </bk>
    <bk>
      <extLst>
        <ext uri="{3e2802c4-a4d2-4d8b-9148-e3be6c30e623}">
          <xlrd:rvb i="1683"/>
        </ext>
      </extLst>
    </bk>
    <bk>
      <extLst>
        <ext uri="{3e2802c4-a4d2-4d8b-9148-e3be6c30e623}">
          <xlrd:rvb i="1684"/>
        </ext>
      </extLst>
    </bk>
    <bk>
      <extLst>
        <ext uri="{3e2802c4-a4d2-4d8b-9148-e3be6c30e623}">
          <xlrd:rvb i="1685"/>
        </ext>
      </extLst>
    </bk>
    <bk>
      <extLst>
        <ext uri="{3e2802c4-a4d2-4d8b-9148-e3be6c30e623}">
          <xlrd:rvb i="1686"/>
        </ext>
      </extLst>
    </bk>
    <bk>
      <extLst>
        <ext uri="{3e2802c4-a4d2-4d8b-9148-e3be6c30e623}">
          <xlrd:rvb i="1687"/>
        </ext>
      </extLst>
    </bk>
    <bk>
      <extLst>
        <ext uri="{3e2802c4-a4d2-4d8b-9148-e3be6c30e623}">
          <xlrd:rvb i="1688"/>
        </ext>
      </extLst>
    </bk>
    <bk>
      <extLst>
        <ext uri="{3e2802c4-a4d2-4d8b-9148-e3be6c30e623}">
          <xlrd:rvb i="1689"/>
        </ext>
      </extLst>
    </bk>
    <bk>
      <extLst>
        <ext uri="{3e2802c4-a4d2-4d8b-9148-e3be6c30e623}">
          <xlrd:rvb i="1690"/>
        </ext>
      </extLst>
    </bk>
    <bk>
      <extLst>
        <ext uri="{3e2802c4-a4d2-4d8b-9148-e3be6c30e623}">
          <xlrd:rvb i="1691"/>
        </ext>
      </extLst>
    </bk>
    <bk>
      <extLst>
        <ext uri="{3e2802c4-a4d2-4d8b-9148-e3be6c30e623}">
          <xlrd:rvb i="1692"/>
        </ext>
      </extLst>
    </bk>
    <bk>
      <extLst>
        <ext uri="{3e2802c4-a4d2-4d8b-9148-e3be6c30e623}">
          <xlrd:rvb i="1693"/>
        </ext>
      </extLst>
    </bk>
    <bk>
      <extLst>
        <ext uri="{3e2802c4-a4d2-4d8b-9148-e3be6c30e623}">
          <xlrd:rvb i="1694"/>
        </ext>
      </extLst>
    </bk>
    <bk>
      <extLst>
        <ext uri="{3e2802c4-a4d2-4d8b-9148-e3be6c30e623}">
          <xlrd:rvb i="1695"/>
        </ext>
      </extLst>
    </bk>
    <bk>
      <extLst>
        <ext uri="{3e2802c4-a4d2-4d8b-9148-e3be6c30e623}">
          <xlrd:rvb i="1696"/>
        </ext>
      </extLst>
    </bk>
    <bk>
      <extLst>
        <ext uri="{3e2802c4-a4d2-4d8b-9148-e3be6c30e623}">
          <xlrd:rvb i="1697"/>
        </ext>
      </extLst>
    </bk>
    <bk>
      <extLst>
        <ext uri="{3e2802c4-a4d2-4d8b-9148-e3be6c30e623}">
          <xlrd:rvb i="1698"/>
        </ext>
      </extLst>
    </bk>
    <bk>
      <extLst>
        <ext uri="{3e2802c4-a4d2-4d8b-9148-e3be6c30e623}">
          <xlrd:rvb i="1699"/>
        </ext>
      </extLst>
    </bk>
    <bk>
      <extLst>
        <ext uri="{3e2802c4-a4d2-4d8b-9148-e3be6c30e623}">
          <xlrd:rvb i="1700"/>
        </ext>
      </extLst>
    </bk>
    <bk>
      <extLst>
        <ext uri="{3e2802c4-a4d2-4d8b-9148-e3be6c30e623}">
          <xlrd:rvb i="1701"/>
        </ext>
      </extLst>
    </bk>
    <bk>
      <extLst>
        <ext uri="{3e2802c4-a4d2-4d8b-9148-e3be6c30e623}">
          <xlrd:rvb i="1702"/>
        </ext>
      </extLst>
    </bk>
    <bk>
      <extLst>
        <ext uri="{3e2802c4-a4d2-4d8b-9148-e3be6c30e623}">
          <xlrd:rvb i="1703"/>
        </ext>
      </extLst>
    </bk>
    <bk>
      <extLst>
        <ext uri="{3e2802c4-a4d2-4d8b-9148-e3be6c30e623}">
          <xlrd:rvb i="1704"/>
        </ext>
      </extLst>
    </bk>
    <bk>
      <extLst>
        <ext uri="{3e2802c4-a4d2-4d8b-9148-e3be6c30e623}">
          <xlrd:rvb i="1705"/>
        </ext>
      </extLst>
    </bk>
    <bk>
      <extLst>
        <ext uri="{3e2802c4-a4d2-4d8b-9148-e3be6c30e623}">
          <xlrd:rvb i="1706"/>
        </ext>
      </extLst>
    </bk>
    <bk>
      <extLst>
        <ext uri="{3e2802c4-a4d2-4d8b-9148-e3be6c30e623}">
          <xlrd:rvb i="1707"/>
        </ext>
      </extLst>
    </bk>
    <bk>
      <extLst>
        <ext uri="{3e2802c4-a4d2-4d8b-9148-e3be6c30e623}">
          <xlrd:rvb i="1708"/>
        </ext>
      </extLst>
    </bk>
    <bk>
      <extLst>
        <ext uri="{3e2802c4-a4d2-4d8b-9148-e3be6c30e623}">
          <xlrd:rvb i="1709"/>
        </ext>
      </extLst>
    </bk>
    <bk>
      <extLst>
        <ext uri="{3e2802c4-a4d2-4d8b-9148-e3be6c30e623}">
          <xlrd:rvb i="1710"/>
        </ext>
      </extLst>
    </bk>
    <bk>
      <extLst>
        <ext uri="{3e2802c4-a4d2-4d8b-9148-e3be6c30e623}">
          <xlrd:rvb i="1711"/>
        </ext>
      </extLst>
    </bk>
    <bk>
      <extLst>
        <ext uri="{3e2802c4-a4d2-4d8b-9148-e3be6c30e623}">
          <xlrd:rvb i="1712"/>
        </ext>
      </extLst>
    </bk>
    <bk>
      <extLst>
        <ext uri="{3e2802c4-a4d2-4d8b-9148-e3be6c30e623}">
          <xlrd:rvb i="1713"/>
        </ext>
      </extLst>
    </bk>
    <bk>
      <extLst>
        <ext uri="{3e2802c4-a4d2-4d8b-9148-e3be6c30e623}">
          <xlrd:rvb i="1714"/>
        </ext>
      </extLst>
    </bk>
    <bk>
      <extLst>
        <ext uri="{3e2802c4-a4d2-4d8b-9148-e3be6c30e623}">
          <xlrd:rvb i="1715"/>
        </ext>
      </extLst>
    </bk>
    <bk>
      <extLst>
        <ext uri="{3e2802c4-a4d2-4d8b-9148-e3be6c30e623}">
          <xlrd:rvb i="1716"/>
        </ext>
      </extLst>
    </bk>
    <bk>
      <extLst>
        <ext uri="{3e2802c4-a4d2-4d8b-9148-e3be6c30e623}">
          <xlrd:rvb i="1717"/>
        </ext>
      </extLst>
    </bk>
    <bk>
      <extLst>
        <ext uri="{3e2802c4-a4d2-4d8b-9148-e3be6c30e623}">
          <xlrd:rvb i="1718"/>
        </ext>
      </extLst>
    </bk>
    <bk>
      <extLst>
        <ext uri="{3e2802c4-a4d2-4d8b-9148-e3be6c30e623}">
          <xlrd:rvb i="1719"/>
        </ext>
      </extLst>
    </bk>
    <bk>
      <extLst>
        <ext uri="{3e2802c4-a4d2-4d8b-9148-e3be6c30e623}">
          <xlrd:rvb i="1720"/>
        </ext>
      </extLst>
    </bk>
    <bk>
      <extLst>
        <ext uri="{3e2802c4-a4d2-4d8b-9148-e3be6c30e623}">
          <xlrd:rvb i="1721"/>
        </ext>
      </extLst>
    </bk>
    <bk>
      <extLst>
        <ext uri="{3e2802c4-a4d2-4d8b-9148-e3be6c30e623}">
          <xlrd:rvb i="1722"/>
        </ext>
      </extLst>
    </bk>
    <bk>
      <extLst>
        <ext uri="{3e2802c4-a4d2-4d8b-9148-e3be6c30e623}">
          <xlrd:rvb i="1723"/>
        </ext>
      </extLst>
    </bk>
    <bk>
      <extLst>
        <ext uri="{3e2802c4-a4d2-4d8b-9148-e3be6c30e623}">
          <xlrd:rvb i="1724"/>
        </ext>
      </extLst>
    </bk>
    <bk>
      <extLst>
        <ext uri="{3e2802c4-a4d2-4d8b-9148-e3be6c30e623}">
          <xlrd:rvb i="1725"/>
        </ext>
      </extLst>
    </bk>
    <bk>
      <extLst>
        <ext uri="{3e2802c4-a4d2-4d8b-9148-e3be6c30e623}">
          <xlrd:rvb i="1726"/>
        </ext>
      </extLst>
    </bk>
    <bk>
      <extLst>
        <ext uri="{3e2802c4-a4d2-4d8b-9148-e3be6c30e623}">
          <xlrd:rvb i="1727"/>
        </ext>
      </extLst>
    </bk>
    <bk>
      <extLst>
        <ext uri="{3e2802c4-a4d2-4d8b-9148-e3be6c30e623}">
          <xlrd:rvb i="1728"/>
        </ext>
      </extLst>
    </bk>
    <bk>
      <extLst>
        <ext uri="{3e2802c4-a4d2-4d8b-9148-e3be6c30e623}">
          <xlrd:rvb i="1729"/>
        </ext>
      </extLst>
    </bk>
    <bk>
      <extLst>
        <ext uri="{3e2802c4-a4d2-4d8b-9148-e3be6c30e623}">
          <xlrd:rvb i="1730"/>
        </ext>
      </extLst>
    </bk>
    <bk>
      <extLst>
        <ext uri="{3e2802c4-a4d2-4d8b-9148-e3be6c30e623}">
          <xlrd:rvb i="1731"/>
        </ext>
      </extLst>
    </bk>
    <bk>
      <extLst>
        <ext uri="{3e2802c4-a4d2-4d8b-9148-e3be6c30e623}">
          <xlrd:rvb i="1732"/>
        </ext>
      </extLst>
    </bk>
    <bk>
      <extLst>
        <ext uri="{3e2802c4-a4d2-4d8b-9148-e3be6c30e623}">
          <xlrd:rvb i="1733"/>
        </ext>
      </extLst>
    </bk>
    <bk>
      <extLst>
        <ext uri="{3e2802c4-a4d2-4d8b-9148-e3be6c30e623}">
          <xlrd:rvb i="1734"/>
        </ext>
      </extLst>
    </bk>
    <bk>
      <extLst>
        <ext uri="{3e2802c4-a4d2-4d8b-9148-e3be6c30e623}">
          <xlrd:rvb i="1735"/>
        </ext>
      </extLst>
    </bk>
    <bk>
      <extLst>
        <ext uri="{3e2802c4-a4d2-4d8b-9148-e3be6c30e623}">
          <xlrd:rvb i="1736"/>
        </ext>
      </extLst>
    </bk>
    <bk>
      <extLst>
        <ext uri="{3e2802c4-a4d2-4d8b-9148-e3be6c30e623}">
          <xlrd:rvb i="1737"/>
        </ext>
      </extLst>
    </bk>
    <bk>
      <extLst>
        <ext uri="{3e2802c4-a4d2-4d8b-9148-e3be6c30e623}">
          <xlrd:rvb i="1738"/>
        </ext>
      </extLst>
    </bk>
    <bk>
      <extLst>
        <ext uri="{3e2802c4-a4d2-4d8b-9148-e3be6c30e623}">
          <xlrd:rvb i="1739"/>
        </ext>
      </extLst>
    </bk>
    <bk>
      <extLst>
        <ext uri="{3e2802c4-a4d2-4d8b-9148-e3be6c30e623}">
          <xlrd:rvb i="1740"/>
        </ext>
      </extLst>
    </bk>
    <bk>
      <extLst>
        <ext uri="{3e2802c4-a4d2-4d8b-9148-e3be6c30e623}">
          <xlrd:rvb i="1741"/>
        </ext>
      </extLst>
    </bk>
    <bk>
      <extLst>
        <ext uri="{3e2802c4-a4d2-4d8b-9148-e3be6c30e623}">
          <xlrd:rvb i="1742"/>
        </ext>
      </extLst>
    </bk>
    <bk>
      <extLst>
        <ext uri="{3e2802c4-a4d2-4d8b-9148-e3be6c30e623}">
          <xlrd:rvb i="1743"/>
        </ext>
      </extLst>
    </bk>
    <bk>
      <extLst>
        <ext uri="{3e2802c4-a4d2-4d8b-9148-e3be6c30e623}">
          <xlrd:rvb i="1744"/>
        </ext>
      </extLst>
    </bk>
    <bk>
      <extLst>
        <ext uri="{3e2802c4-a4d2-4d8b-9148-e3be6c30e623}">
          <xlrd:rvb i="1745"/>
        </ext>
      </extLst>
    </bk>
    <bk>
      <extLst>
        <ext uri="{3e2802c4-a4d2-4d8b-9148-e3be6c30e623}">
          <xlrd:rvb i="1746"/>
        </ext>
      </extLst>
    </bk>
    <bk>
      <extLst>
        <ext uri="{3e2802c4-a4d2-4d8b-9148-e3be6c30e623}">
          <xlrd:rvb i="1747"/>
        </ext>
      </extLst>
    </bk>
    <bk>
      <extLst>
        <ext uri="{3e2802c4-a4d2-4d8b-9148-e3be6c30e623}">
          <xlrd:rvb i="1748"/>
        </ext>
      </extLst>
    </bk>
    <bk>
      <extLst>
        <ext uri="{3e2802c4-a4d2-4d8b-9148-e3be6c30e623}">
          <xlrd:rvb i="1749"/>
        </ext>
      </extLst>
    </bk>
    <bk>
      <extLst>
        <ext uri="{3e2802c4-a4d2-4d8b-9148-e3be6c30e623}">
          <xlrd:rvb i="1750"/>
        </ext>
      </extLst>
    </bk>
    <bk>
      <extLst>
        <ext uri="{3e2802c4-a4d2-4d8b-9148-e3be6c30e623}">
          <xlrd:rvb i="1751"/>
        </ext>
      </extLst>
    </bk>
    <bk>
      <extLst>
        <ext uri="{3e2802c4-a4d2-4d8b-9148-e3be6c30e623}">
          <xlrd:rvb i="1752"/>
        </ext>
      </extLst>
    </bk>
    <bk>
      <extLst>
        <ext uri="{3e2802c4-a4d2-4d8b-9148-e3be6c30e623}">
          <xlrd:rvb i="1753"/>
        </ext>
      </extLst>
    </bk>
    <bk>
      <extLst>
        <ext uri="{3e2802c4-a4d2-4d8b-9148-e3be6c30e623}">
          <xlrd:rvb i="1754"/>
        </ext>
      </extLst>
    </bk>
    <bk>
      <extLst>
        <ext uri="{3e2802c4-a4d2-4d8b-9148-e3be6c30e623}">
          <xlrd:rvb i="1755"/>
        </ext>
      </extLst>
    </bk>
    <bk>
      <extLst>
        <ext uri="{3e2802c4-a4d2-4d8b-9148-e3be6c30e623}">
          <xlrd:rvb i="1756"/>
        </ext>
      </extLst>
    </bk>
    <bk>
      <extLst>
        <ext uri="{3e2802c4-a4d2-4d8b-9148-e3be6c30e623}">
          <xlrd:rvb i="1757"/>
        </ext>
      </extLst>
    </bk>
    <bk>
      <extLst>
        <ext uri="{3e2802c4-a4d2-4d8b-9148-e3be6c30e623}">
          <xlrd:rvb i="1758"/>
        </ext>
      </extLst>
    </bk>
    <bk>
      <extLst>
        <ext uri="{3e2802c4-a4d2-4d8b-9148-e3be6c30e623}">
          <xlrd:rvb i="1759"/>
        </ext>
      </extLst>
    </bk>
    <bk>
      <extLst>
        <ext uri="{3e2802c4-a4d2-4d8b-9148-e3be6c30e623}">
          <xlrd:rvb i="1760"/>
        </ext>
      </extLst>
    </bk>
    <bk>
      <extLst>
        <ext uri="{3e2802c4-a4d2-4d8b-9148-e3be6c30e623}">
          <xlrd:rvb i="1761"/>
        </ext>
      </extLst>
    </bk>
  </futureMetadata>
  <cellMetadata count="1">
    <bk>
      <rc t="1" v="0"/>
    </bk>
  </cellMetadata>
  <valueMetadata count="176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bk>
      <rc t="2" v="1308"/>
    </bk>
    <bk>
      <rc t="2" v="1309"/>
    </bk>
    <bk>
      <rc t="2" v="1310"/>
    </bk>
    <bk>
      <rc t="2" v="1311"/>
    </bk>
    <bk>
      <rc t="2" v="1312"/>
    </bk>
    <bk>
      <rc t="2" v="1313"/>
    </bk>
    <bk>
      <rc t="2" v="1314"/>
    </bk>
    <bk>
      <rc t="2" v="1315"/>
    </bk>
    <bk>
      <rc t="2" v="1316"/>
    </bk>
    <bk>
      <rc t="2" v="1317"/>
    </bk>
    <bk>
      <rc t="2" v="1318"/>
    </bk>
    <bk>
      <rc t="2" v="1319"/>
    </bk>
    <bk>
      <rc t="2" v="1320"/>
    </bk>
    <bk>
      <rc t="2" v="1321"/>
    </bk>
    <bk>
      <rc t="2" v="1322"/>
    </bk>
    <bk>
      <rc t="2" v="1323"/>
    </bk>
    <bk>
      <rc t="2" v="1324"/>
    </bk>
    <bk>
      <rc t="2" v="1325"/>
    </bk>
    <bk>
      <rc t="2" v="1326"/>
    </bk>
    <bk>
      <rc t="2" v="1327"/>
    </bk>
    <bk>
      <rc t="2" v="1328"/>
    </bk>
    <bk>
      <rc t="2" v="1329"/>
    </bk>
    <bk>
      <rc t="2" v="1330"/>
    </bk>
    <bk>
      <rc t="2" v="1331"/>
    </bk>
    <bk>
      <rc t="2" v="1332"/>
    </bk>
    <bk>
      <rc t="2" v="1333"/>
    </bk>
    <bk>
      <rc t="2" v="1334"/>
    </bk>
    <bk>
      <rc t="2" v="1335"/>
    </bk>
    <bk>
      <rc t="2" v="1336"/>
    </bk>
    <bk>
      <rc t="2" v="1337"/>
    </bk>
    <bk>
      <rc t="2" v="1338"/>
    </bk>
    <bk>
      <rc t="2" v="1339"/>
    </bk>
    <bk>
      <rc t="2" v="1340"/>
    </bk>
    <bk>
      <rc t="2" v="1341"/>
    </bk>
    <bk>
      <rc t="2" v="1342"/>
    </bk>
    <bk>
      <rc t="2" v="1343"/>
    </bk>
    <bk>
      <rc t="2" v="1344"/>
    </bk>
    <bk>
      <rc t="2" v="1345"/>
    </bk>
    <bk>
      <rc t="2" v="1346"/>
    </bk>
    <bk>
      <rc t="2" v="1347"/>
    </bk>
    <bk>
      <rc t="2" v="1348"/>
    </bk>
    <bk>
      <rc t="2" v="1349"/>
    </bk>
    <bk>
      <rc t="2" v="1350"/>
    </bk>
    <bk>
      <rc t="2" v="1351"/>
    </bk>
    <bk>
      <rc t="2" v="1352"/>
    </bk>
    <bk>
      <rc t="2" v="1353"/>
    </bk>
    <bk>
      <rc t="2" v="1354"/>
    </bk>
    <bk>
      <rc t="2" v="1355"/>
    </bk>
    <bk>
      <rc t="2" v="1356"/>
    </bk>
    <bk>
      <rc t="2" v="1357"/>
    </bk>
    <bk>
      <rc t="2" v="1358"/>
    </bk>
    <bk>
      <rc t="2" v="1359"/>
    </bk>
    <bk>
      <rc t="2" v="1360"/>
    </bk>
    <bk>
      <rc t="2" v="1361"/>
    </bk>
    <bk>
      <rc t="2" v="1362"/>
    </bk>
    <bk>
      <rc t="2" v="1363"/>
    </bk>
    <bk>
      <rc t="2" v="1364"/>
    </bk>
    <bk>
      <rc t="2" v="1365"/>
    </bk>
    <bk>
      <rc t="2" v="1366"/>
    </bk>
    <bk>
      <rc t="2" v="1367"/>
    </bk>
    <bk>
      <rc t="2" v="1368"/>
    </bk>
    <bk>
      <rc t="2" v="1369"/>
    </bk>
    <bk>
      <rc t="2" v="1370"/>
    </bk>
    <bk>
      <rc t="2" v="1371"/>
    </bk>
    <bk>
      <rc t="2" v="1372"/>
    </bk>
    <bk>
      <rc t="2" v="1373"/>
    </bk>
    <bk>
      <rc t="2" v="1374"/>
    </bk>
    <bk>
      <rc t="2" v="1375"/>
    </bk>
    <bk>
      <rc t="2" v="1376"/>
    </bk>
    <bk>
      <rc t="2" v="1377"/>
    </bk>
    <bk>
      <rc t="2" v="1378"/>
    </bk>
    <bk>
      <rc t="2" v="1379"/>
    </bk>
    <bk>
      <rc t="2" v="1380"/>
    </bk>
    <bk>
      <rc t="2" v="1381"/>
    </bk>
    <bk>
      <rc t="2" v="1382"/>
    </bk>
    <bk>
      <rc t="2" v="1383"/>
    </bk>
    <bk>
      <rc t="2" v="1384"/>
    </bk>
    <bk>
      <rc t="2" v="1385"/>
    </bk>
    <bk>
      <rc t="2" v="1386"/>
    </bk>
    <bk>
      <rc t="2" v="1387"/>
    </bk>
    <bk>
      <rc t="2" v="1388"/>
    </bk>
    <bk>
      <rc t="2" v="1389"/>
    </bk>
    <bk>
      <rc t="2" v="1390"/>
    </bk>
    <bk>
      <rc t="2" v="1391"/>
    </bk>
    <bk>
      <rc t="2" v="1392"/>
    </bk>
    <bk>
      <rc t="2" v="1393"/>
    </bk>
    <bk>
      <rc t="2" v="1394"/>
    </bk>
    <bk>
      <rc t="2" v="1395"/>
    </bk>
    <bk>
      <rc t="2" v="1396"/>
    </bk>
    <bk>
      <rc t="2" v="1397"/>
    </bk>
    <bk>
      <rc t="2" v="1398"/>
    </bk>
    <bk>
      <rc t="2" v="1399"/>
    </bk>
    <bk>
      <rc t="2" v="1400"/>
    </bk>
    <bk>
      <rc t="2" v="1401"/>
    </bk>
    <bk>
      <rc t="2" v="1402"/>
    </bk>
    <bk>
      <rc t="2" v="1403"/>
    </bk>
    <bk>
      <rc t="2" v="1404"/>
    </bk>
    <bk>
      <rc t="2" v="1405"/>
    </bk>
    <bk>
      <rc t="2" v="1406"/>
    </bk>
    <bk>
      <rc t="2" v="1407"/>
    </bk>
    <bk>
      <rc t="2" v="1408"/>
    </bk>
    <bk>
      <rc t="2" v="1409"/>
    </bk>
    <bk>
      <rc t="2" v="1410"/>
    </bk>
    <bk>
      <rc t="2" v="1411"/>
    </bk>
    <bk>
      <rc t="2" v="1412"/>
    </bk>
    <bk>
      <rc t="2" v="1413"/>
    </bk>
    <bk>
      <rc t="2" v="1414"/>
    </bk>
    <bk>
      <rc t="2" v="1415"/>
    </bk>
    <bk>
      <rc t="2" v="1416"/>
    </bk>
    <bk>
      <rc t="2" v="1417"/>
    </bk>
    <bk>
      <rc t="2" v="1418"/>
    </bk>
    <bk>
      <rc t="2" v="1419"/>
    </bk>
    <bk>
      <rc t="2" v="1420"/>
    </bk>
    <bk>
      <rc t="2" v="1421"/>
    </bk>
    <bk>
      <rc t="2" v="1422"/>
    </bk>
    <bk>
      <rc t="2" v="1423"/>
    </bk>
    <bk>
      <rc t="2" v="1424"/>
    </bk>
    <bk>
      <rc t="2" v="1425"/>
    </bk>
    <bk>
      <rc t="2" v="1426"/>
    </bk>
    <bk>
      <rc t="2" v="1427"/>
    </bk>
    <bk>
      <rc t="2" v="1428"/>
    </bk>
    <bk>
      <rc t="2" v="1429"/>
    </bk>
    <bk>
      <rc t="2" v="1430"/>
    </bk>
    <bk>
      <rc t="2" v="1431"/>
    </bk>
    <bk>
      <rc t="2" v="1432"/>
    </bk>
    <bk>
      <rc t="2" v="1433"/>
    </bk>
    <bk>
      <rc t="2" v="1434"/>
    </bk>
    <bk>
      <rc t="2" v="1435"/>
    </bk>
    <bk>
      <rc t="2" v="1436"/>
    </bk>
    <bk>
      <rc t="2" v="1437"/>
    </bk>
    <bk>
      <rc t="2" v="1438"/>
    </bk>
    <bk>
      <rc t="2" v="1439"/>
    </bk>
    <bk>
      <rc t="2" v="1440"/>
    </bk>
    <bk>
      <rc t="2" v="1441"/>
    </bk>
    <bk>
      <rc t="2" v="1442"/>
    </bk>
    <bk>
      <rc t="2" v="1443"/>
    </bk>
    <bk>
      <rc t="2" v="1444"/>
    </bk>
    <bk>
      <rc t="2" v="1445"/>
    </bk>
    <bk>
      <rc t="2" v="1446"/>
    </bk>
    <bk>
      <rc t="2" v="1447"/>
    </bk>
    <bk>
      <rc t="2" v="1448"/>
    </bk>
    <bk>
      <rc t="2" v="1449"/>
    </bk>
    <bk>
      <rc t="2" v="1450"/>
    </bk>
    <bk>
      <rc t="2" v="1451"/>
    </bk>
    <bk>
      <rc t="2" v="1452"/>
    </bk>
    <bk>
      <rc t="2" v="1453"/>
    </bk>
    <bk>
      <rc t="2" v="1454"/>
    </bk>
    <bk>
      <rc t="2" v="1455"/>
    </bk>
    <bk>
      <rc t="2" v="1456"/>
    </bk>
    <bk>
      <rc t="2" v="1457"/>
    </bk>
    <bk>
      <rc t="2" v="1458"/>
    </bk>
    <bk>
      <rc t="2" v="1459"/>
    </bk>
    <bk>
      <rc t="2" v="1460"/>
    </bk>
    <bk>
      <rc t="2" v="1461"/>
    </bk>
    <bk>
      <rc t="2" v="1462"/>
    </bk>
    <bk>
      <rc t="2" v="1463"/>
    </bk>
    <bk>
      <rc t="2" v="1464"/>
    </bk>
    <bk>
      <rc t="2" v="1465"/>
    </bk>
    <bk>
      <rc t="2" v="1466"/>
    </bk>
    <bk>
      <rc t="2" v="1467"/>
    </bk>
    <bk>
      <rc t="2" v="1468"/>
    </bk>
    <bk>
      <rc t="2" v="1469"/>
    </bk>
    <bk>
      <rc t="2" v="1470"/>
    </bk>
    <bk>
      <rc t="2" v="1471"/>
    </bk>
    <bk>
      <rc t="2" v="1472"/>
    </bk>
    <bk>
      <rc t="2" v="1473"/>
    </bk>
    <bk>
      <rc t="2" v="1474"/>
    </bk>
    <bk>
      <rc t="2" v="1475"/>
    </bk>
    <bk>
      <rc t="2" v="1476"/>
    </bk>
    <bk>
      <rc t="2" v="1477"/>
    </bk>
    <bk>
      <rc t="2" v="1478"/>
    </bk>
    <bk>
      <rc t="2" v="1479"/>
    </bk>
    <bk>
      <rc t="2" v="1480"/>
    </bk>
    <bk>
      <rc t="2" v="1481"/>
    </bk>
    <bk>
      <rc t="2" v="1482"/>
    </bk>
    <bk>
      <rc t="2" v="1483"/>
    </bk>
    <bk>
      <rc t="2" v="1484"/>
    </bk>
    <bk>
      <rc t="2" v="1485"/>
    </bk>
    <bk>
      <rc t="2" v="1486"/>
    </bk>
    <bk>
      <rc t="2" v="1487"/>
    </bk>
    <bk>
      <rc t="2" v="1488"/>
    </bk>
    <bk>
      <rc t="2" v="1489"/>
    </bk>
    <bk>
      <rc t="2" v="1490"/>
    </bk>
    <bk>
      <rc t="2" v="1491"/>
    </bk>
    <bk>
      <rc t="2" v="1492"/>
    </bk>
    <bk>
      <rc t="2" v="1493"/>
    </bk>
    <bk>
      <rc t="2" v="1494"/>
    </bk>
    <bk>
      <rc t="2" v="1495"/>
    </bk>
    <bk>
      <rc t="2" v="1496"/>
    </bk>
    <bk>
      <rc t="2" v="1497"/>
    </bk>
    <bk>
      <rc t="2" v="1498"/>
    </bk>
    <bk>
      <rc t="2" v="1499"/>
    </bk>
    <bk>
      <rc t="2" v="1500"/>
    </bk>
    <bk>
      <rc t="2" v="1501"/>
    </bk>
    <bk>
      <rc t="2" v="1502"/>
    </bk>
    <bk>
      <rc t="2" v="1503"/>
    </bk>
    <bk>
      <rc t="2" v="1504"/>
    </bk>
    <bk>
      <rc t="2" v="1505"/>
    </bk>
    <bk>
      <rc t="2" v="1506"/>
    </bk>
    <bk>
      <rc t="2" v="1507"/>
    </bk>
    <bk>
      <rc t="2" v="1508"/>
    </bk>
    <bk>
      <rc t="2" v="1509"/>
    </bk>
    <bk>
      <rc t="2" v="1510"/>
    </bk>
    <bk>
      <rc t="2" v="1511"/>
    </bk>
    <bk>
      <rc t="2" v="1512"/>
    </bk>
    <bk>
      <rc t="2" v="1513"/>
    </bk>
    <bk>
      <rc t="2" v="1514"/>
    </bk>
    <bk>
      <rc t="2" v="1515"/>
    </bk>
    <bk>
      <rc t="2" v="1516"/>
    </bk>
    <bk>
      <rc t="2" v="1517"/>
    </bk>
    <bk>
      <rc t="2" v="1518"/>
    </bk>
    <bk>
      <rc t="2" v="1519"/>
    </bk>
    <bk>
      <rc t="2" v="1520"/>
    </bk>
    <bk>
      <rc t="2" v="1521"/>
    </bk>
    <bk>
      <rc t="2" v="1522"/>
    </bk>
    <bk>
      <rc t="2" v="1523"/>
    </bk>
    <bk>
      <rc t="2" v="1524"/>
    </bk>
    <bk>
      <rc t="2" v="1525"/>
    </bk>
    <bk>
      <rc t="2" v="1526"/>
    </bk>
    <bk>
      <rc t="2" v="1527"/>
    </bk>
    <bk>
      <rc t="2" v="1528"/>
    </bk>
    <bk>
      <rc t="2" v="1529"/>
    </bk>
    <bk>
      <rc t="2" v="1530"/>
    </bk>
    <bk>
      <rc t="2" v="1531"/>
    </bk>
    <bk>
      <rc t="2" v="1532"/>
    </bk>
    <bk>
      <rc t="2" v="1533"/>
    </bk>
    <bk>
      <rc t="2" v="1534"/>
    </bk>
    <bk>
      <rc t="2" v="1535"/>
    </bk>
    <bk>
      <rc t="2" v="1536"/>
    </bk>
    <bk>
      <rc t="2" v="1537"/>
    </bk>
    <bk>
      <rc t="2" v="1538"/>
    </bk>
    <bk>
      <rc t="2" v="1539"/>
    </bk>
    <bk>
      <rc t="2" v="1540"/>
    </bk>
    <bk>
      <rc t="2" v="1541"/>
    </bk>
    <bk>
      <rc t="2" v="1542"/>
    </bk>
    <bk>
      <rc t="2" v="1543"/>
    </bk>
    <bk>
      <rc t="2" v="1544"/>
    </bk>
    <bk>
      <rc t="2" v="1545"/>
    </bk>
    <bk>
      <rc t="2" v="1546"/>
    </bk>
    <bk>
      <rc t="2" v="1547"/>
    </bk>
    <bk>
      <rc t="2" v="1548"/>
    </bk>
    <bk>
      <rc t="2" v="1549"/>
    </bk>
    <bk>
      <rc t="2" v="1550"/>
    </bk>
    <bk>
      <rc t="2" v="1551"/>
    </bk>
    <bk>
      <rc t="2" v="1552"/>
    </bk>
    <bk>
      <rc t="2" v="1553"/>
    </bk>
    <bk>
      <rc t="2" v="1554"/>
    </bk>
    <bk>
      <rc t="2" v="1555"/>
    </bk>
    <bk>
      <rc t="2" v="1556"/>
    </bk>
    <bk>
      <rc t="2" v="1557"/>
    </bk>
    <bk>
      <rc t="2" v="1558"/>
    </bk>
    <bk>
      <rc t="2" v="1559"/>
    </bk>
    <bk>
      <rc t="2" v="1560"/>
    </bk>
    <bk>
      <rc t="2" v="1561"/>
    </bk>
    <bk>
      <rc t="2" v="1562"/>
    </bk>
    <bk>
      <rc t="2" v="1563"/>
    </bk>
    <bk>
      <rc t="2" v="1564"/>
    </bk>
    <bk>
      <rc t="2" v="1565"/>
    </bk>
    <bk>
      <rc t="2" v="1566"/>
    </bk>
    <bk>
      <rc t="2" v="1567"/>
    </bk>
    <bk>
      <rc t="2" v="1568"/>
    </bk>
    <bk>
      <rc t="2" v="1569"/>
    </bk>
    <bk>
      <rc t="2" v="1570"/>
    </bk>
    <bk>
      <rc t="2" v="1571"/>
    </bk>
    <bk>
      <rc t="2" v="1572"/>
    </bk>
    <bk>
      <rc t="2" v="1573"/>
    </bk>
    <bk>
      <rc t="2" v="1574"/>
    </bk>
    <bk>
      <rc t="2" v="1575"/>
    </bk>
    <bk>
      <rc t="2" v="1576"/>
    </bk>
    <bk>
      <rc t="2" v="1577"/>
    </bk>
    <bk>
      <rc t="2" v="1578"/>
    </bk>
    <bk>
      <rc t="2" v="1579"/>
    </bk>
    <bk>
      <rc t="2" v="1580"/>
    </bk>
    <bk>
      <rc t="2" v="1581"/>
    </bk>
    <bk>
      <rc t="2" v="1582"/>
    </bk>
    <bk>
      <rc t="2" v="1583"/>
    </bk>
    <bk>
      <rc t="2" v="1584"/>
    </bk>
    <bk>
      <rc t="2" v="1585"/>
    </bk>
    <bk>
      <rc t="2" v="1586"/>
    </bk>
    <bk>
      <rc t="2" v="1587"/>
    </bk>
    <bk>
      <rc t="2" v="1588"/>
    </bk>
    <bk>
      <rc t="2" v="1589"/>
    </bk>
    <bk>
      <rc t="2" v="1590"/>
    </bk>
    <bk>
      <rc t="2" v="1591"/>
    </bk>
    <bk>
      <rc t="2" v="1592"/>
    </bk>
    <bk>
      <rc t="2" v="1593"/>
    </bk>
    <bk>
      <rc t="2" v="1594"/>
    </bk>
    <bk>
      <rc t="2" v="1595"/>
    </bk>
    <bk>
      <rc t="2" v="1596"/>
    </bk>
    <bk>
      <rc t="2" v="1597"/>
    </bk>
    <bk>
      <rc t="2" v="1598"/>
    </bk>
    <bk>
      <rc t="2" v="1599"/>
    </bk>
    <bk>
      <rc t="2" v="1600"/>
    </bk>
    <bk>
      <rc t="2" v="1601"/>
    </bk>
    <bk>
      <rc t="2" v="1602"/>
    </bk>
    <bk>
      <rc t="2" v="1603"/>
    </bk>
    <bk>
      <rc t="2" v="1604"/>
    </bk>
    <bk>
      <rc t="2" v="1605"/>
    </bk>
    <bk>
      <rc t="2" v="1606"/>
    </bk>
    <bk>
      <rc t="2" v="1607"/>
    </bk>
    <bk>
      <rc t="2" v="1608"/>
    </bk>
    <bk>
      <rc t="2" v="1609"/>
    </bk>
    <bk>
      <rc t="2" v="1610"/>
    </bk>
    <bk>
      <rc t="2" v="1611"/>
    </bk>
    <bk>
      <rc t="2" v="1612"/>
    </bk>
    <bk>
      <rc t="2" v="1613"/>
    </bk>
    <bk>
      <rc t="2" v="1614"/>
    </bk>
    <bk>
      <rc t="2" v="1615"/>
    </bk>
    <bk>
      <rc t="2" v="1616"/>
    </bk>
    <bk>
      <rc t="2" v="1617"/>
    </bk>
    <bk>
      <rc t="2" v="1618"/>
    </bk>
    <bk>
      <rc t="2" v="1619"/>
    </bk>
    <bk>
      <rc t="2" v="1620"/>
    </bk>
    <bk>
      <rc t="2" v="1621"/>
    </bk>
    <bk>
      <rc t="2" v="1622"/>
    </bk>
    <bk>
      <rc t="2" v="1623"/>
    </bk>
    <bk>
      <rc t="2" v="1624"/>
    </bk>
    <bk>
      <rc t="2" v="1625"/>
    </bk>
    <bk>
      <rc t="2" v="1626"/>
    </bk>
    <bk>
      <rc t="2" v="1627"/>
    </bk>
    <bk>
      <rc t="2" v="1628"/>
    </bk>
    <bk>
      <rc t="2" v="1629"/>
    </bk>
    <bk>
      <rc t="2" v="1630"/>
    </bk>
    <bk>
      <rc t="2" v="1631"/>
    </bk>
    <bk>
      <rc t="2" v="1632"/>
    </bk>
    <bk>
      <rc t="2" v="1633"/>
    </bk>
    <bk>
      <rc t="2" v="1634"/>
    </bk>
    <bk>
      <rc t="2" v="1635"/>
    </bk>
    <bk>
      <rc t="2" v="1636"/>
    </bk>
    <bk>
      <rc t="2" v="1637"/>
    </bk>
    <bk>
      <rc t="2" v="1638"/>
    </bk>
    <bk>
      <rc t="2" v="1639"/>
    </bk>
    <bk>
      <rc t="2" v="1640"/>
    </bk>
    <bk>
      <rc t="2" v="1641"/>
    </bk>
    <bk>
      <rc t="2" v="1642"/>
    </bk>
    <bk>
      <rc t="2" v="1643"/>
    </bk>
    <bk>
      <rc t="2" v="1644"/>
    </bk>
    <bk>
      <rc t="2" v="1645"/>
    </bk>
    <bk>
      <rc t="2" v="1646"/>
    </bk>
    <bk>
      <rc t="2" v="1647"/>
    </bk>
    <bk>
      <rc t="2" v="1648"/>
    </bk>
    <bk>
      <rc t="2" v="1649"/>
    </bk>
    <bk>
      <rc t="2" v="1650"/>
    </bk>
    <bk>
      <rc t="2" v="1651"/>
    </bk>
    <bk>
      <rc t="2" v="1652"/>
    </bk>
    <bk>
      <rc t="2" v="1653"/>
    </bk>
    <bk>
      <rc t="2" v="1654"/>
    </bk>
    <bk>
      <rc t="2" v="1655"/>
    </bk>
    <bk>
      <rc t="2" v="1656"/>
    </bk>
    <bk>
      <rc t="2" v="1657"/>
    </bk>
    <bk>
      <rc t="2" v="1658"/>
    </bk>
    <bk>
      <rc t="2" v="1659"/>
    </bk>
    <bk>
      <rc t="2" v="1660"/>
    </bk>
    <bk>
      <rc t="2" v="1661"/>
    </bk>
    <bk>
      <rc t="2" v="1662"/>
    </bk>
    <bk>
      <rc t="2" v="1663"/>
    </bk>
    <bk>
      <rc t="2" v="1664"/>
    </bk>
    <bk>
      <rc t="2" v="1665"/>
    </bk>
    <bk>
      <rc t="2" v="1666"/>
    </bk>
    <bk>
      <rc t="2" v="1667"/>
    </bk>
    <bk>
      <rc t="2" v="1668"/>
    </bk>
    <bk>
      <rc t="2" v="1669"/>
    </bk>
    <bk>
      <rc t="2" v="1670"/>
    </bk>
    <bk>
      <rc t="2" v="1671"/>
    </bk>
    <bk>
      <rc t="2" v="1672"/>
    </bk>
    <bk>
      <rc t="2" v="1673"/>
    </bk>
    <bk>
      <rc t="2" v="1674"/>
    </bk>
    <bk>
      <rc t="2" v="1675"/>
    </bk>
    <bk>
      <rc t="2" v="1676"/>
    </bk>
    <bk>
      <rc t="2" v="1677"/>
    </bk>
    <bk>
      <rc t="2" v="1678"/>
    </bk>
    <bk>
      <rc t="2" v="1679"/>
    </bk>
    <bk>
      <rc t="2" v="1680"/>
    </bk>
    <bk>
      <rc t="2" v="1681"/>
    </bk>
    <bk>
      <rc t="2" v="1682"/>
    </bk>
    <bk>
      <rc t="2" v="1683"/>
    </bk>
    <bk>
      <rc t="2" v="1684"/>
    </bk>
    <bk>
      <rc t="2" v="1685"/>
    </bk>
    <bk>
      <rc t="2" v="1686"/>
    </bk>
    <bk>
      <rc t="2" v="1687"/>
    </bk>
    <bk>
      <rc t="2" v="1688"/>
    </bk>
    <bk>
      <rc t="2" v="1689"/>
    </bk>
    <bk>
      <rc t="2" v="1690"/>
    </bk>
    <bk>
      <rc t="2" v="1691"/>
    </bk>
    <bk>
      <rc t="2" v="1692"/>
    </bk>
    <bk>
      <rc t="2" v="1693"/>
    </bk>
    <bk>
      <rc t="2" v="1694"/>
    </bk>
    <bk>
      <rc t="2" v="1695"/>
    </bk>
    <bk>
      <rc t="2" v="1696"/>
    </bk>
    <bk>
      <rc t="2" v="1697"/>
    </bk>
    <bk>
      <rc t="2" v="1698"/>
    </bk>
    <bk>
      <rc t="2" v="1699"/>
    </bk>
    <bk>
      <rc t="2" v="1700"/>
    </bk>
    <bk>
      <rc t="2" v="1701"/>
    </bk>
    <bk>
      <rc t="2" v="1702"/>
    </bk>
    <bk>
      <rc t="2" v="1703"/>
    </bk>
    <bk>
      <rc t="2" v="1704"/>
    </bk>
    <bk>
      <rc t="2" v="1705"/>
    </bk>
    <bk>
      <rc t="2" v="1706"/>
    </bk>
    <bk>
      <rc t="2" v="1707"/>
    </bk>
    <bk>
      <rc t="2" v="1708"/>
    </bk>
    <bk>
      <rc t="2" v="1709"/>
    </bk>
    <bk>
      <rc t="2" v="1710"/>
    </bk>
    <bk>
      <rc t="2" v="1711"/>
    </bk>
    <bk>
      <rc t="2" v="1712"/>
    </bk>
    <bk>
      <rc t="2" v="1713"/>
    </bk>
    <bk>
      <rc t="2" v="1714"/>
    </bk>
    <bk>
      <rc t="2" v="1715"/>
    </bk>
    <bk>
      <rc t="2" v="1716"/>
    </bk>
    <bk>
      <rc t="2" v="1717"/>
    </bk>
    <bk>
      <rc t="2" v="1718"/>
    </bk>
    <bk>
      <rc t="2" v="1719"/>
    </bk>
    <bk>
      <rc t="2" v="1720"/>
    </bk>
    <bk>
      <rc t="2" v="1721"/>
    </bk>
    <bk>
      <rc t="2" v="1722"/>
    </bk>
    <bk>
      <rc t="2" v="1723"/>
    </bk>
    <bk>
      <rc t="2" v="1724"/>
    </bk>
    <bk>
      <rc t="2" v="1725"/>
    </bk>
    <bk>
      <rc t="2" v="1726"/>
    </bk>
    <bk>
      <rc t="2" v="1727"/>
    </bk>
    <bk>
      <rc t="2" v="1728"/>
    </bk>
    <bk>
      <rc t="2" v="1729"/>
    </bk>
    <bk>
      <rc t="2" v="1730"/>
    </bk>
    <bk>
      <rc t="2" v="1731"/>
    </bk>
    <bk>
      <rc t="2" v="1732"/>
    </bk>
    <bk>
      <rc t="2" v="1733"/>
    </bk>
    <bk>
      <rc t="2" v="1734"/>
    </bk>
    <bk>
      <rc t="2" v="1735"/>
    </bk>
    <bk>
      <rc t="2" v="1736"/>
    </bk>
    <bk>
      <rc t="2" v="1737"/>
    </bk>
    <bk>
      <rc t="2" v="1738"/>
    </bk>
    <bk>
      <rc t="2" v="1739"/>
    </bk>
    <bk>
      <rc t="2" v="1740"/>
    </bk>
    <bk>
      <rc t="2" v="1741"/>
    </bk>
    <bk>
      <rc t="2" v="1742"/>
    </bk>
    <bk>
      <rc t="2" v="1743"/>
    </bk>
    <bk>
      <rc t="2" v="1744"/>
    </bk>
    <bk>
      <rc t="2" v="1745"/>
    </bk>
    <bk>
      <rc t="2" v="1746"/>
    </bk>
    <bk>
      <rc t="2" v="1747"/>
    </bk>
    <bk>
      <rc t="2" v="1748"/>
    </bk>
    <bk>
      <rc t="2" v="1749"/>
    </bk>
    <bk>
      <rc t="2" v="1750"/>
    </bk>
    <bk>
      <rc t="2" v="1751"/>
    </bk>
    <bk>
      <rc t="2" v="1752"/>
    </bk>
    <bk>
      <rc t="2" v="1753"/>
    </bk>
    <bk>
      <rc t="2" v="1754"/>
    </bk>
    <bk>
      <rc t="2" v="1755"/>
    </bk>
    <bk>
      <rc t="2" v="1756"/>
    </bk>
    <bk>
      <rc t="2" v="1757"/>
    </bk>
    <bk>
      <rc t="2" v="1758"/>
    </bk>
    <bk>
      <rc t="2" v="1759"/>
    </bk>
  </valueMetadata>
</metadata>
</file>

<file path=xl/sharedStrings.xml><?xml version="1.0" encoding="utf-8"?>
<sst xmlns="http://schemas.openxmlformats.org/spreadsheetml/2006/main" count="988" uniqueCount="521">
  <si>
    <t>Compnay name</t>
  </si>
  <si>
    <t>Ticker</t>
  </si>
  <si>
    <t>Latest share price</t>
  </si>
  <si>
    <t>Latest fiscal year end date</t>
  </si>
  <si>
    <t>INCOME STATEMENT</t>
  </si>
  <si>
    <t>Fiscal year</t>
  </si>
  <si>
    <t>Fiscal year end date</t>
  </si>
  <si>
    <t>x</t>
  </si>
  <si>
    <t>Revenue</t>
  </si>
  <si>
    <t>Gross profit</t>
  </si>
  <si>
    <t>Cost of goods sold (enter as a -)</t>
  </si>
  <si>
    <t>Selling, general, and administrative (enter as a -)</t>
  </si>
  <si>
    <t>Other operating income / (expense)</t>
  </si>
  <si>
    <t>EBITDA</t>
  </si>
  <si>
    <t>Irregular income (expense)</t>
  </si>
  <si>
    <t>Operating income excluding  joint ventures</t>
  </si>
  <si>
    <t>Income (loss) from joint ventures</t>
  </si>
  <si>
    <t>Operating income including joint ventures</t>
  </si>
  <si>
    <t>Interest income</t>
  </si>
  <si>
    <t>Interest expense on debt (enter as a -)</t>
  </si>
  <si>
    <t>Interest expense on leases (enter as a -)</t>
  </si>
  <si>
    <t>Other finance income (expense)</t>
  </si>
  <si>
    <t>Pretax profit</t>
  </si>
  <si>
    <t>Net income</t>
  </si>
  <si>
    <t>Net income attributable to minority interests</t>
  </si>
  <si>
    <t>Net income attributable to common shareholders</t>
  </si>
  <si>
    <t>5 Year</t>
  </si>
  <si>
    <t>CAGR</t>
  </si>
  <si>
    <t>Income tax expense (enter as a -)</t>
  </si>
  <si>
    <t>Stock based compensation</t>
  </si>
  <si>
    <t>Adjusted EBITDA</t>
  </si>
  <si>
    <t>Revenue growth</t>
  </si>
  <si>
    <t>Gross profit margin</t>
  </si>
  <si>
    <t>Tax rate</t>
  </si>
  <si>
    <t>BALANCE SHEET</t>
  </si>
  <si>
    <t>Inventories</t>
  </si>
  <si>
    <t>Other current assets</t>
  </si>
  <si>
    <t>Property, plant, &amp; equipment, net</t>
  </si>
  <si>
    <t>Intangible assets, net</t>
  </si>
  <si>
    <t>Goodwill</t>
  </si>
  <si>
    <t>Other non-current assets</t>
  </si>
  <si>
    <t>Total assets</t>
  </si>
  <si>
    <t>Accounts payable</t>
  </si>
  <si>
    <t>Cash &amp; equivalents, ST investments, and LT financial investments</t>
  </si>
  <si>
    <t>Other current liabilities</t>
  </si>
  <si>
    <t>Other non-current liabilities</t>
  </si>
  <si>
    <t>Total liabilities</t>
  </si>
  <si>
    <t>Minority interests</t>
  </si>
  <si>
    <t>Total equity</t>
  </si>
  <si>
    <t>Balance check</t>
  </si>
  <si>
    <t>CASH FLOW STATEMENT</t>
  </si>
  <si>
    <t>% of net income attributable to minority interests</t>
  </si>
  <si>
    <t>Circularity breaker 1 = off, 0 = on</t>
  </si>
  <si>
    <t>Depreciation and ammoritization</t>
  </si>
  <si>
    <t>Decrease / (increase) in inventories</t>
  </si>
  <si>
    <t>Decrease / (increase) in accounts receivable</t>
  </si>
  <si>
    <t>Decrease / (increase) in prepayed expenses</t>
  </si>
  <si>
    <t>Increase / (decrease) in accounts payable</t>
  </si>
  <si>
    <t>Decrease / (increase) in other current assets</t>
  </si>
  <si>
    <t>Increase / (decrease) in other current liabilities</t>
  </si>
  <si>
    <t>Cach from operating activities</t>
  </si>
  <si>
    <t>Additions to porperty, plant, and equipment</t>
  </si>
  <si>
    <t>Additions to intangible assets</t>
  </si>
  <si>
    <t>Cash from investing activities</t>
  </si>
  <si>
    <t>Long-term debt</t>
  </si>
  <si>
    <t>Revolver</t>
  </si>
  <si>
    <t>Cash from financing activities</t>
  </si>
  <si>
    <t xml:space="preserve">Impacts of foreign exchange transactions </t>
  </si>
  <si>
    <t>Common dividends</t>
  </si>
  <si>
    <t>Dividends to minority interests</t>
  </si>
  <si>
    <t>Net change in cash during period</t>
  </si>
  <si>
    <t>X</t>
  </si>
  <si>
    <t>ACCOUNTS RECEIVABLE</t>
  </si>
  <si>
    <t>Begining of period</t>
  </si>
  <si>
    <t>Increases / (decreases)</t>
  </si>
  <si>
    <t>End of period</t>
  </si>
  <si>
    <t>Average accounts recievable as % of sales</t>
  </si>
  <si>
    <t>Select an A/R forecasting approach (1=grow w rev, 2=explicit DSO)</t>
  </si>
  <si>
    <t>Approach 1: Grow A/R with revenue growth rate</t>
  </si>
  <si>
    <t>Approach 2: DSO Assumption</t>
  </si>
  <si>
    <t>WORKING CAPITAL SCHEDULES</t>
  </si>
  <si>
    <t>Days per year</t>
  </si>
  <si>
    <t>Historical</t>
  </si>
  <si>
    <t>Forecast</t>
  </si>
  <si>
    <t>INVENTORIES</t>
  </si>
  <si>
    <t>Select an inventory forecasting approach:</t>
  </si>
  <si>
    <t>Approach 1: Keep avg. inventory / COGS ratio constant</t>
  </si>
  <si>
    <t>ACCOUNTS PAYABLE</t>
  </si>
  <si>
    <t>Approach 2: DPO Assumption</t>
  </si>
  <si>
    <t>Average accounts payable as % of COGS</t>
  </si>
  <si>
    <t>Approach 1: Grow A/P with COGS growth rate</t>
  </si>
  <si>
    <t>Select an A/P forecasting approach (1=grow w COGS, 2=explicit DPO)</t>
  </si>
  <si>
    <t>Working capital ratios / liquidity</t>
  </si>
  <si>
    <t>Trade A/R Days sales outstanding (average)</t>
  </si>
  <si>
    <t>Days inventory outstanding</t>
  </si>
  <si>
    <t>Operating cycle</t>
  </si>
  <si>
    <t>Days payables outstanding</t>
  </si>
  <si>
    <t>Net operating cycle (Cash conversion cycle)</t>
  </si>
  <si>
    <t>Current ratio (CA/CL)</t>
  </si>
  <si>
    <t>Quick ratio (Cash + A/R / CL)</t>
  </si>
  <si>
    <t>Memo</t>
  </si>
  <si>
    <t>LT marketable securities</t>
  </si>
  <si>
    <t>Current assets</t>
  </si>
  <si>
    <t>Current liabilities</t>
  </si>
  <si>
    <t>LT accounts receivable</t>
  </si>
  <si>
    <t>LT lease liabilities</t>
  </si>
  <si>
    <t>LT deferred tax liabilities</t>
  </si>
  <si>
    <t>Tax receivables</t>
  </si>
  <si>
    <t>Interests in joint ventures</t>
  </si>
  <si>
    <t>Deferred tax assets</t>
  </si>
  <si>
    <t>Short-term debt / revolver</t>
  </si>
  <si>
    <t>Term debt (includes current portion)</t>
  </si>
  <si>
    <t>Lease liabilities (includes current portion)</t>
  </si>
  <si>
    <t>Deposit / consignment</t>
  </si>
  <si>
    <t>Provisions for pensions and other employee benefit obligations</t>
  </si>
  <si>
    <t>Retained earnings</t>
  </si>
  <si>
    <t>Right-of-use assets</t>
  </si>
  <si>
    <t>LT prepaid expenses</t>
  </si>
  <si>
    <t>Accounts receivable (includes LT portion)</t>
  </si>
  <si>
    <t>Prepayed expenses (includes LT portion)</t>
  </si>
  <si>
    <t>LT  debt</t>
  </si>
  <si>
    <t>Tax liabilities (current and non-current)</t>
  </si>
  <si>
    <t>PROPERTY, PLANT &amp; EQUIPMENT</t>
  </si>
  <si>
    <t>Less: depreciaiton</t>
  </si>
  <si>
    <t>Depreciation waterfall</t>
  </si>
  <si>
    <t>Existing PP&amp;E</t>
  </si>
  <si>
    <t>Gross PP&amp;E</t>
  </si>
  <si>
    <t>Non-depreciable PP&amp;E (i.e. land)</t>
  </si>
  <si>
    <t>Accumulated depreciation</t>
  </si>
  <si>
    <t>Net PP&amp;E (excl. land)</t>
  </si>
  <si>
    <t>Average useful life</t>
  </si>
  <si>
    <t>Override - if needed for smoothing</t>
  </si>
  <si>
    <t>Depreciation from existing PP&amp;E</t>
  </si>
  <si>
    <t>Midyear adjustment (1 = no, 0.5 = yes)</t>
  </si>
  <si>
    <t>Total depreciation</t>
  </si>
  <si>
    <t>Depreciation and amoritization expense (enter as a -)</t>
  </si>
  <si>
    <t>INTANGIBLE ASSETS</t>
  </si>
  <si>
    <t>Less: amoritization</t>
  </si>
  <si>
    <t>Amoritization waterfall</t>
  </si>
  <si>
    <t>Gross intangible assets</t>
  </si>
  <si>
    <t>Amoritization from existing intangible assets</t>
  </si>
  <si>
    <t>Total amoritization</t>
  </si>
  <si>
    <t>Total depreciation and amoritization</t>
  </si>
  <si>
    <t>Beginning of period</t>
  </si>
  <si>
    <t>Plus: Net income</t>
  </si>
  <si>
    <t>Less: Dividends</t>
  </si>
  <si>
    <t>REVOLVER (MODEL PLUG)</t>
  </si>
  <si>
    <t>Revolver needs analysis</t>
  </si>
  <si>
    <t>Beginning of period cash</t>
  </si>
  <si>
    <t>Less: minimum cash balance</t>
  </si>
  <si>
    <t>Plus: free cash flow generated during period</t>
  </si>
  <si>
    <t>Equals: Cash available (needed) to pay down (draw from) revolver</t>
  </si>
  <si>
    <t>Income from joint ventures</t>
  </si>
  <si>
    <t>EQUITY SCHEDULES</t>
  </si>
  <si>
    <t>Common stock</t>
  </si>
  <si>
    <t>Issuances / (buyback)</t>
  </si>
  <si>
    <t>Common dividend payout ratio</t>
  </si>
  <si>
    <t>Treasury stock</t>
  </si>
  <si>
    <t>Minority interest dividend payout ratio</t>
  </si>
  <si>
    <t>Commercial paper / Revolver</t>
  </si>
  <si>
    <t>Draw / (paydown)</t>
  </si>
  <si>
    <t>Discretionary borrowing / (paydown)</t>
  </si>
  <si>
    <t>Debt balance:</t>
  </si>
  <si>
    <t>INTEREST EXPENSE AND INTEREST INCOME</t>
  </si>
  <si>
    <t>Total interest expense on debt</t>
  </si>
  <si>
    <t>Weighted average interest rate</t>
  </si>
  <si>
    <t>End of period balance (from B/S)</t>
  </si>
  <si>
    <t>Interest expense</t>
  </si>
  <si>
    <t>Interest rate on cash</t>
  </si>
  <si>
    <t>Weighted average interest rate on cash</t>
  </si>
  <si>
    <t>Debt (term debt and revolver)</t>
  </si>
  <si>
    <t>LEASES</t>
  </si>
  <si>
    <t>Plus: additions</t>
  </si>
  <si>
    <t>Lease liabilities</t>
  </si>
  <si>
    <t>Less: repayments</t>
  </si>
  <si>
    <t>Right of use assets</t>
  </si>
  <si>
    <t>Lease repayments</t>
  </si>
  <si>
    <t>Less: depreciation</t>
  </si>
  <si>
    <t>Gross ROU asset</t>
  </si>
  <si>
    <t>Depreciation from existing ROU assets</t>
  </si>
  <si>
    <t>Average incrimental borrowing cost</t>
  </si>
  <si>
    <t>Subtotal (base for calculating interest expense on leases)</t>
  </si>
  <si>
    <t>Lease liabilities, end of period</t>
  </si>
  <si>
    <t>Less: interest expense on leases</t>
  </si>
  <si>
    <t>Repayments, % of BOP lease liability</t>
  </si>
  <si>
    <t>Minimum cash as % of revenue</t>
  </si>
  <si>
    <t>Interest on leases</t>
  </si>
  <si>
    <t>Scenario selector</t>
  </si>
  <si>
    <t>EARNINGS PER SHARE</t>
  </si>
  <si>
    <t>Basic shares</t>
  </si>
  <si>
    <t>Basic EPS</t>
  </si>
  <si>
    <t>TERM DEBT</t>
  </si>
  <si>
    <t>Diluted shares</t>
  </si>
  <si>
    <t>Diluted EPS</t>
  </si>
  <si>
    <r>
      <t xml:space="preserve">Shares issued / (repurchased), </t>
    </r>
    <r>
      <rPr>
        <sz val="11"/>
        <color theme="1"/>
        <rFont val="Aptos Narrow"/>
        <family val="2"/>
      </rPr>
      <t>€</t>
    </r>
  </si>
  <si>
    <t>Average Price</t>
  </si>
  <si>
    <t>Net change in basic shares</t>
  </si>
  <si>
    <t>Basic shares - end of period</t>
  </si>
  <si>
    <t>Basic shares - average</t>
  </si>
  <si>
    <t>Net income yoy change, used for price growth projection</t>
  </si>
  <si>
    <t>Base case</t>
  </si>
  <si>
    <t>NM</t>
  </si>
  <si>
    <t>Service stations</t>
  </si>
  <si>
    <t>Europe</t>
  </si>
  <si>
    <t>Africa</t>
  </si>
  <si>
    <t>Bitumen</t>
  </si>
  <si>
    <t>Aviation fuels</t>
  </si>
  <si>
    <t>Commercial fuels</t>
  </si>
  <si>
    <t>Other</t>
  </si>
  <si>
    <t>Refining</t>
  </si>
  <si>
    <t>RUBIS ENERGIES DIVISION</t>
  </si>
  <si>
    <t>Support and Services segment</t>
  </si>
  <si>
    <t>Liquified gas</t>
  </si>
  <si>
    <t>Volumes by product ( '000s m3)</t>
  </si>
  <si>
    <t>Total Retail and Marketing segment</t>
  </si>
  <si>
    <t>€ '000s except share data</t>
  </si>
  <si>
    <t>Gross profit €/m3</t>
  </si>
  <si>
    <t>Revenue, € '000s</t>
  </si>
  <si>
    <t>Total revenue, Retail and Marketing segment</t>
  </si>
  <si>
    <t>Gross margin</t>
  </si>
  <si>
    <t>Average sales price €/m3</t>
  </si>
  <si>
    <t>Overall Retail and Merketing Segment</t>
  </si>
  <si>
    <t>Retial and Marketing Segment overall</t>
  </si>
  <si>
    <t>Gross profit by product, € '000s</t>
  </si>
  <si>
    <t>Investments</t>
  </si>
  <si>
    <t>Implied cost of good sold</t>
  </si>
  <si>
    <t>Implied unit cost of good sold €/m3</t>
  </si>
  <si>
    <t>Trade Supply and Transport</t>
  </si>
  <si>
    <t>Number of vessels</t>
  </si>
  <si>
    <t>Revenue per vessel</t>
  </si>
  <si>
    <t>EBITDA margin</t>
  </si>
  <si>
    <t>Margin</t>
  </si>
  <si>
    <t>Full Rubis Energies Division</t>
  </si>
  <si>
    <t>Revenue (whole Support and Services Segment)</t>
  </si>
  <si>
    <t>RENEWABLES DIVISION</t>
  </si>
  <si>
    <t>Installed capacity (MWp)</t>
  </si>
  <si>
    <t>Plus: CAPX from Rubis Energies division</t>
  </si>
  <si>
    <t>Plus: CAPX from Renewables division</t>
  </si>
  <si>
    <t>Total CAPX related to PP&amp;E</t>
  </si>
  <si>
    <t>Production (GWh)</t>
  </si>
  <si>
    <t>Total CAPX related to intangibles</t>
  </si>
  <si>
    <t>Investments, total</t>
  </si>
  <si>
    <t>% of investments in PP&amp;E</t>
  </si>
  <si>
    <t>% of investments in intangibles</t>
  </si>
  <si>
    <t>Investments in intangibles</t>
  </si>
  <si>
    <t>Investments in PP&amp;E</t>
  </si>
  <si>
    <t>Approach 2: Inventory turnover</t>
  </si>
  <si>
    <t>REVENUE</t>
  </si>
  <si>
    <t>Renewables division</t>
  </si>
  <si>
    <t>Total revenue</t>
  </si>
  <si>
    <t>Other revenue</t>
  </si>
  <si>
    <t>Retail and Marketing</t>
  </si>
  <si>
    <t>Support and Services</t>
  </si>
  <si>
    <t>CAPX for PP&amp;E, % of total investments in PP&amp;E and intangibles.</t>
  </si>
  <si>
    <t>CAPX for intangibles, % of total investments in PP&amp;E and intangibles.</t>
  </si>
  <si>
    <t>Capacity utilization factor</t>
  </si>
  <si>
    <t>numbers in € '000s unless otherwise stated</t>
  </si>
  <si>
    <t>margin</t>
  </si>
  <si>
    <t>Var from</t>
  </si>
  <si>
    <t>RUBIS ENERGIES</t>
  </si>
  <si>
    <t>Income from joint ventures growth</t>
  </si>
  <si>
    <t>Average USD/EUR FX rate</t>
  </si>
  <si>
    <t>Benchmark oil price (Brent price in EUR per m3)</t>
  </si>
  <si>
    <t>Contribution to net income (loss) from irregular items</t>
  </si>
  <si>
    <t>Total EBITDA</t>
  </si>
  <si>
    <t>Retail and Marketing Europe sales / benchmark</t>
  </si>
  <si>
    <t>Retail and Marketing total sales / benchmark</t>
  </si>
  <si>
    <t>Retail and Marketing Africa sales / benchmark</t>
  </si>
  <si>
    <t>Retail and Marketing Carribean sales / benchmark</t>
  </si>
  <si>
    <t>Cost per additional MWp of capacity</t>
  </si>
  <si>
    <t>Investments (Support and Services segment)</t>
  </si>
  <si>
    <t>EBITDA (Support and Services segment)</t>
  </si>
  <si>
    <t>Total volumes (base case calculation)</t>
  </si>
  <si>
    <t>Volumes '000s m3 (used to build base case)</t>
  </si>
  <si>
    <t>Active scenario</t>
  </si>
  <si>
    <t>Brent price (USD per m3) - model's benchmark</t>
  </si>
  <si>
    <t>Revenue breakdown</t>
  </si>
  <si>
    <t>EBITDA breakdown</t>
  </si>
  <si>
    <t>SENSITIVITY ANALYSIS</t>
  </si>
  <si>
    <t>End of first fiscal year</t>
  </si>
  <si>
    <t>Valuation date</t>
  </si>
  <si>
    <t>Portion of first year cash flows</t>
  </si>
  <si>
    <t>Discount rate</t>
  </si>
  <si>
    <t>Share price</t>
  </si>
  <si>
    <t>Share price date</t>
  </si>
  <si>
    <t>Midyear adjustment</t>
  </si>
  <si>
    <t>Actual</t>
  </si>
  <si>
    <t>Forecasts</t>
  </si>
  <si>
    <t>CAPX</t>
  </si>
  <si>
    <t>Net working capital (WC assets - WC liabilities)</t>
  </si>
  <si>
    <t>TTM</t>
  </si>
  <si>
    <t>Date for discounting cash flows</t>
  </si>
  <si>
    <t>Val date</t>
  </si>
  <si>
    <t>Yr 1 - Stub</t>
  </si>
  <si>
    <t>Year 2</t>
  </si>
  <si>
    <t>Year 3</t>
  </si>
  <si>
    <t>Year 4</t>
  </si>
  <si>
    <t>Year 5</t>
  </si>
  <si>
    <t>Free cash flow to equity (FCFE)</t>
  </si>
  <si>
    <t>Free cash flow to equity (FCFE), stub adjusted</t>
  </si>
  <si>
    <t>Present value of FCFE</t>
  </si>
  <si>
    <t xml:space="preserve">Terminal value - constant growth </t>
  </si>
  <si>
    <t>Present value of terminal value</t>
  </si>
  <si>
    <t>Present value of stage 1 cash flows</t>
  </si>
  <si>
    <t>Total value of equity</t>
  </si>
  <si>
    <t>Terminal value as % of valuation</t>
  </si>
  <si>
    <t>Stage 1 cash flows as % of valuation</t>
  </si>
  <si>
    <t>Terminal value - EBITDA multiple</t>
  </si>
  <si>
    <t>Long term growth rate</t>
  </si>
  <si>
    <t>Source</t>
  </si>
  <si>
    <t>Date</t>
  </si>
  <si>
    <t>Shares</t>
  </si>
  <si>
    <t>Options / warrants</t>
  </si>
  <si>
    <t>Convertible preferred stock</t>
  </si>
  <si>
    <t>Net diluted shares outstanding</t>
  </si>
  <si>
    <t xml:space="preserve">Shares </t>
  </si>
  <si>
    <t>Current share price</t>
  </si>
  <si>
    <t>Stock options</t>
  </si>
  <si>
    <t>Outstanding</t>
  </si>
  <si>
    <t>Exercise</t>
  </si>
  <si>
    <t>In the money</t>
  </si>
  <si>
    <t>options</t>
  </si>
  <si>
    <t>price</t>
  </si>
  <si>
    <t>2019 plan</t>
  </si>
  <si>
    <t>2020 plan</t>
  </si>
  <si>
    <t>2021 plan</t>
  </si>
  <si>
    <t>Total</t>
  </si>
  <si>
    <t>Total proceeds (€ '000s)</t>
  </si>
  <si>
    <t>Total shares repurchased</t>
  </si>
  <si>
    <t>Net dilutive impact of stock options</t>
  </si>
  <si>
    <t>Ordinary shares</t>
  </si>
  <si>
    <t>Convertible securities</t>
  </si>
  <si>
    <t>Performance shares</t>
  </si>
  <si>
    <t>Par value</t>
  </si>
  <si>
    <t>Preferred shares outstanding</t>
  </si>
  <si>
    <t>Conversion ratio</t>
  </si>
  <si>
    <t>Common shares convertible into</t>
  </si>
  <si>
    <t>Conversion price</t>
  </si>
  <si>
    <t>Dilutive impact of convertible securities</t>
  </si>
  <si>
    <t>Cost of equity</t>
  </si>
  <si>
    <t>Beta</t>
  </si>
  <si>
    <t>Risk free rate</t>
  </si>
  <si>
    <t>Dividend per share</t>
  </si>
  <si>
    <t>FREE CASH FLOW TO EQUITY (FCFE)</t>
  </si>
  <si>
    <t>DIVIDENDS</t>
  </si>
  <si>
    <t>Dividends per share</t>
  </si>
  <si>
    <t xml:space="preserve">Present value of dividends  </t>
  </si>
  <si>
    <t>Dividends per share, stub adjusted</t>
  </si>
  <si>
    <t>growth rate</t>
  </si>
  <si>
    <t>payout ratio</t>
  </si>
  <si>
    <t>Terminal value - constant growth</t>
  </si>
  <si>
    <t>Value per share</t>
  </si>
  <si>
    <t>Dividend yield</t>
  </si>
  <si>
    <t>Terminal value - multiple method</t>
  </si>
  <si>
    <t>Terminal dividend</t>
  </si>
  <si>
    <t>Multiple</t>
  </si>
  <si>
    <t>FCFE - constant growth method</t>
  </si>
  <si>
    <t>Dividend - multiple method</t>
  </si>
  <si>
    <t>Senegal</t>
  </si>
  <si>
    <t>Liberia</t>
  </si>
  <si>
    <t>Togo</t>
  </si>
  <si>
    <t>Nigeria</t>
  </si>
  <si>
    <t>Cameroon</t>
  </si>
  <si>
    <t>Gabon</t>
  </si>
  <si>
    <t>Angola</t>
  </si>
  <si>
    <t>South Africa</t>
  </si>
  <si>
    <t>Renewables CAPX financed with debt</t>
  </si>
  <si>
    <t>Rubis enetgies CAPX financed with debt</t>
  </si>
  <si>
    <t>Rubis energies CAPX financed with debt</t>
  </si>
  <si>
    <t>Shares outstading</t>
  </si>
  <si>
    <t>Basic shares - beginning of period (000's)</t>
  </si>
  <si>
    <t>Average sales price per KWh</t>
  </si>
  <si>
    <t>Disaster case</t>
  </si>
  <si>
    <t>Weak case</t>
  </si>
  <si>
    <t>Strong case</t>
  </si>
  <si>
    <t>EIA</t>
  </si>
  <si>
    <t>Goldman Sachs</t>
  </si>
  <si>
    <t>Barclays</t>
  </si>
  <si>
    <t>ING</t>
  </si>
  <si>
    <t>Citi</t>
  </si>
  <si>
    <t>JP Morgan</t>
  </si>
  <si>
    <t>Fitch</t>
  </si>
  <si>
    <t>Deloitte</t>
  </si>
  <si>
    <t>Economic Forecast Agency (EFA)</t>
  </si>
  <si>
    <t>Forcast average (scenario analysis base case input)</t>
  </si>
  <si>
    <t>Brent price (USD per barrel, scenario analysis output)</t>
  </si>
  <si>
    <t>Baltic Dirty tanker Index (BDTI)</t>
  </si>
  <si>
    <t>Revenue per vessel / BDTI (measures vessel use)</t>
  </si>
  <si>
    <t>Growth</t>
  </si>
  <si>
    <t>Production capacity (tonnes '000s)</t>
  </si>
  <si>
    <t>Production capacity (barrels '000s)</t>
  </si>
  <si>
    <t>Tonne to barrel conversion factor</t>
  </si>
  <si>
    <t>Revenue per barrel</t>
  </si>
  <si>
    <t>Cost of good sold</t>
  </si>
  <si>
    <t>Gross margin per barrel</t>
  </si>
  <si>
    <t>Refining revenue per barrel / brent price</t>
  </si>
  <si>
    <t>Cost of goods sold</t>
  </si>
  <si>
    <t>Gross margin %</t>
  </si>
  <si>
    <t>Oil market data and forecasts</t>
  </si>
  <si>
    <t>Tanker industry gross margins</t>
  </si>
  <si>
    <t>Frontline (FRO)</t>
  </si>
  <si>
    <t>Scorpio Tankers (STNG)</t>
  </si>
  <si>
    <t>Pyxis Tankers (PXS)</t>
  </si>
  <si>
    <t>Torm (TRMD)</t>
  </si>
  <si>
    <t>Average</t>
  </si>
  <si>
    <t>COST OF GOODS SOLD</t>
  </si>
  <si>
    <t>Total cost of goods sold</t>
  </si>
  <si>
    <t>Cost of goods sold breakdown</t>
  </si>
  <si>
    <t>GROSS PROFIT</t>
  </si>
  <si>
    <t>Gross profit breakdown</t>
  </si>
  <si>
    <t>SHARES OUTSTANDING</t>
  </si>
  <si>
    <t>VALUATION</t>
  </si>
  <si>
    <t>Gross Profit</t>
  </si>
  <si>
    <t>Gross margin &gt; EBITDA margin?</t>
  </si>
  <si>
    <t>Frech Equity risk premium</t>
  </si>
  <si>
    <t>Country risk premiums</t>
  </si>
  <si>
    <t>France</t>
  </si>
  <si>
    <t>Spain</t>
  </si>
  <si>
    <t>Portugal</t>
  </si>
  <si>
    <t>Switzerland</t>
  </si>
  <si>
    <t>Haiti</t>
  </si>
  <si>
    <t>Jamaica</t>
  </si>
  <si>
    <t>Bahamas</t>
  </si>
  <si>
    <t>Guyana</t>
  </si>
  <si>
    <t>Suriname</t>
  </si>
  <si>
    <t>French Guiana</t>
  </si>
  <si>
    <t>Morocco</t>
  </si>
  <si>
    <t>Botswana</t>
  </si>
  <si>
    <t>Zambia</t>
  </si>
  <si>
    <t>Madagascar</t>
  </si>
  <si>
    <t>Rwanda</t>
  </si>
  <si>
    <t>Uganda</t>
  </si>
  <si>
    <t>Kenya</t>
  </si>
  <si>
    <t>Ethiopia</t>
  </si>
  <si>
    <t>Term debt</t>
  </si>
  <si>
    <t>Retail and Marketing segment</t>
  </si>
  <si>
    <t>Hafnia Limited (HAFN)</t>
  </si>
  <si>
    <t>2023 URD</t>
  </si>
  <si>
    <t>Volumes by product growth rate ( '000s m3)</t>
  </si>
  <si>
    <t>Volumes '000s m3 (scenario analysis output)</t>
  </si>
  <si>
    <t>Volumes growth rate ( '000s m3)</t>
  </si>
  <si>
    <t>Interest on leases (non-cash expense)</t>
  </si>
  <si>
    <t>Lease repayments (actual cashflow)</t>
  </si>
  <si>
    <t>growth</t>
  </si>
  <si>
    <t>Net income attributable to minorty interests</t>
  </si>
  <si>
    <t>Dividends paid to minority interests</t>
  </si>
  <si>
    <t>Stock based compensation % of SG&amp;A</t>
  </si>
  <si>
    <t>Common share issuances / (repurchases)</t>
  </si>
  <si>
    <t>Minority interest share issuances / (repurchases)</t>
  </si>
  <si>
    <t>Increase / (decrease) in other non-current liabilities</t>
  </si>
  <si>
    <t>Price / adjusted EBITDA multiple</t>
  </si>
  <si>
    <t>FCFE - ajdusted EBITDA multiple method</t>
  </si>
  <si>
    <t>Adjusted EBITDA multiple</t>
  </si>
  <si>
    <t>Terminal adjusted EBITDA</t>
  </si>
  <si>
    <t>Growth rates, margins, and ratios</t>
  </si>
  <si>
    <t>Total gross margin</t>
  </si>
  <si>
    <t>Total gross profit</t>
  </si>
  <si>
    <t>Total EBITDA margin</t>
  </si>
  <si>
    <t>Method</t>
  </si>
  <si>
    <t>Weight</t>
  </si>
  <si>
    <t>Weighted average</t>
  </si>
  <si>
    <t>Average share price, used for share issue / repurchase calcuations</t>
  </si>
  <si>
    <t>Change in other non-current liabilities</t>
  </si>
  <si>
    <t>Short term debt (revolver)</t>
  </si>
  <si>
    <t>Change in short-term debt (revolver)</t>
  </si>
  <si>
    <t>Net margin</t>
  </si>
  <si>
    <t>Valutaion range</t>
  </si>
  <si>
    <t>Valuation method</t>
  </si>
  <si>
    <t>Valuation</t>
  </si>
  <si>
    <t>52-week high</t>
  </si>
  <si>
    <t>52-week low</t>
  </si>
  <si>
    <t>P/E</t>
  </si>
  <si>
    <t>Average volume</t>
  </si>
  <si>
    <t>Industry</t>
  </si>
  <si>
    <t>Revenue, breakdown by region</t>
  </si>
  <si>
    <t>Volumes breakdown by region</t>
  </si>
  <si>
    <t>Balance sheet ratios</t>
  </si>
  <si>
    <t>Debt/equity</t>
  </si>
  <si>
    <t>Interest coverage</t>
  </si>
  <si>
    <t>Current ratio</t>
  </si>
  <si>
    <t>Quick ratio</t>
  </si>
  <si>
    <t>Cayman Islands</t>
  </si>
  <si>
    <t>Change in term debt</t>
  </si>
  <si>
    <t>Operating cash flow</t>
  </si>
  <si>
    <t>year</t>
  </si>
  <si>
    <t>Dividend - constant growth method</t>
  </si>
  <si>
    <t>Free float adjustements</t>
  </si>
  <si>
    <t>Blackrock</t>
  </si>
  <si>
    <t>Group Industriel Marcel Dassault</t>
  </si>
  <si>
    <t>Compagnie Nationale de Navigation</t>
  </si>
  <si>
    <t>Ronald Sämann</t>
  </si>
  <si>
    <t>Major shareholders</t>
  </si>
  <si>
    <t>Insiders</t>
  </si>
  <si>
    <t>General and managing partners</t>
  </si>
  <si>
    <t>Rubis Avernir employee mutual fund</t>
  </si>
  <si>
    <t>Supervisory board</t>
  </si>
  <si>
    <t>Treasury shares</t>
  </si>
  <si>
    <t>Free float adjusted shares outstanding</t>
  </si>
  <si>
    <t xml:space="preserve">Fully diluted </t>
  </si>
  <si>
    <t>Free-float</t>
  </si>
  <si>
    <t>Plantations des Terres Rouges (Bollore)</t>
  </si>
  <si>
    <t>Business disposals / (acquisitions)</t>
  </si>
  <si>
    <t>Net income growth</t>
  </si>
  <si>
    <t>Bermuda</t>
  </si>
  <si>
    <t xml:space="preserve">Turks and Caicos </t>
  </si>
  <si>
    <t>Market cap (mil)</t>
  </si>
  <si>
    <t>Book value per share</t>
  </si>
  <si>
    <t>Net cash per share</t>
  </si>
  <si>
    <t>Debt to equity</t>
  </si>
  <si>
    <t>Caribbean</t>
  </si>
  <si>
    <t>PVGO Analysis</t>
  </si>
  <si>
    <t>PV of current operations (no growth)</t>
  </si>
  <si>
    <t>PVGO (calculated from market price)</t>
  </si>
  <si>
    <t>PVGO (calculated from model's valuation)</t>
  </si>
  <si>
    <t>Net income sensitivity to African margins and volumes</t>
  </si>
  <si>
    <t>Africa gross margin</t>
  </si>
  <si>
    <t>Net income sensitivity to Caribbean margins and volumes</t>
  </si>
  <si>
    <t>Caribbean gross margin</t>
  </si>
  <si>
    <t>Net income sensitivity to European margins and volumes</t>
  </si>
  <si>
    <t>volumes</t>
  </si>
  <si>
    <t xml:space="preserve">Europe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</si>
</sst>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0_)_%;\(#,##0\)_%;_(&quot;–&quot;_)_%;_(@_)_%"/>
    <numFmt numFmtId="165" formatCode="_([$€-2]\ * #,##0.00_);_([$€-2]\ * \(#,##0.00\);_([$€-2]\ * &quot;-&quot;??_);_(@_)"/>
    <numFmt numFmtId="166" formatCode="0\A;[Red]0\A"/>
    <numFmt numFmtId="167" formatCode="0\P_);\(0\P\)"/>
    <numFmt numFmtId="168" formatCode="0.0%"/>
    <numFmt numFmtId="169" formatCode="0_);\(0\)"/>
    <numFmt numFmtId="170" formatCode="0\ &quot;days&quot;"/>
    <numFmt numFmtId="171" formatCode="#,##0.0\x_);\(#,##0.0\x\)"/>
    <numFmt numFmtId="172" formatCode="_(#,##0.0_)_%;\(#,##0.0\)_%;_(&quot;–&quot;_)_%;_(@_)_%"/>
    <numFmt numFmtId="173" formatCode="0.00%_);\(0.00%\);@_)"/>
    <numFmt numFmtId="174" formatCode="_(#,##0.00%_);\(#,##0.00%\);_(&quot;–&quot;_)_%;_(@_)_%"/>
    <numFmt numFmtId="175" formatCode="_(#,##0.0%_);\(#,##0.0%\);_(&quot;–&quot;_)_%;_(@_)_%"/>
    <numFmt numFmtId="176" formatCode="0.0\x_);\(0.0\x\);@_)"/>
    <numFmt numFmtId="177" formatCode="#,##0.0000_);\(#,##0.0000\)"/>
    <numFmt numFmtId="178" formatCode="#,##0.000"/>
    <numFmt numFmtId="180" formatCode="_([$€-2]\ * #,##0_);_([$€-2]\ * \(#,##0\);_([$€-2]\ * &quot;-&quot;??_);_(@_)"/>
    <numFmt numFmtId="181" formatCode="0.000"/>
    <numFmt numFmtId="182" formatCode="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i/>
      <sz val="11"/>
      <color theme="1"/>
      <name val="Calibri"/>
      <family val="2"/>
      <scheme val="minor"/>
    </font>
    <font>
      <b/>
      <sz val="11"/>
      <name val="Calibri"/>
      <family val="2"/>
      <scheme val="minor"/>
    </font>
    <font>
      <u/>
      <sz val="11"/>
      <color theme="1"/>
      <name val="Calibri"/>
      <family val="2"/>
      <scheme val="minor"/>
    </font>
    <font>
      <i/>
      <sz val="11"/>
      <color rgb="FF0000FF"/>
      <name val="Calibri"/>
      <family val="2"/>
      <scheme val="minor"/>
    </font>
    <font>
      <i/>
      <sz val="10"/>
      <name val="Calibri"/>
      <family val="2"/>
      <scheme val="minor"/>
    </font>
    <font>
      <sz val="11"/>
      <color rgb="FF800080"/>
      <name val="Calibri"/>
      <family val="2"/>
      <scheme val="minor"/>
    </font>
    <font>
      <sz val="9"/>
      <color rgb="FF008000"/>
      <name val="Calibri"/>
      <family val="2"/>
      <scheme val="minor"/>
    </font>
    <font>
      <sz val="8"/>
      <color rgb="FFFF0000"/>
      <name val="Calibri"/>
      <family val="2"/>
      <scheme val="minor"/>
    </font>
    <font>
      <b/>
      <u/>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theme="1"/>
      <name val="Aptos Narrow"/>
      <family val="2"/>
    </font>
    <font>
      <b/>
      <i/>
      <sz val="11"/>
      <color theme="1"/>
      <name val="Calibri"/>
      <family val="2"/>
      <scheme val="minor"/>
    </font>
    <font>
      <sz val="11"/>
      <color rgb="FF008000"/>
      <name val="Calibri"/>
      <family val="2"/>
      <scheme val="minor"/>
    </font>
    <font>
      <b/>
      <sz val="11"/>
      <color rgb="FF008000"/>
      <name val="Calibri"/>
      <family val="2"/>
      <scheme val="minor"/>
    </font>
    <font>
      <i/>
      <sz val="11"/>
      <color rgb="FF008000"/>
      <name val="Calibri"/>
      <family val="2"/>
      <scheme val="minor"/>
    </font>
    <font>
      <sz val="8"/>
      <color theme="1"/>
      <name val="Calibri"/>
      <family val="2"/>
      <scheme val="minor"/>
    </font>
    <font>
      <i/>
      <sz val="11"/>
      <name val="Calibri"/>
      <family val="2"/>
      <scheme val="minor"/>
    </font>
    <font>
      <b/>
      <sz val="11"/>
      <color rgb="FF0000FF"/>
      <name val="Calibri"/>
      <family val="2"/>
      <scheme val="minor"/>
    </font>
    <font>
      <sz val="11"/>
      <color theme="0"/>
      <name val="Calibri"/>
      <family val="2"/>
      <scheme val="minor"/>
    </font>
  </fonts>
  <fills count="4">
    <fill>
      <patternFill patternType="none"/>
    </fill>
    <fill>
      <patternFill patternType="gray125"/>
    </fill>
    <fill>
      <patternFill patternType="solid">
        <fgColor rgb="FFFCE5CD"/>
        <bgColor indexed="64"/>
      </patternFill>
    </fill>
    <fill>
      <patternFill patternType="solid">
        <fgColor theme="9" tint="0.59999389629810485"/>
        <bgColor indexed="64"/>
      </patternFill>
    </fill>
  </fills>
  <borders count="18">
    <border>
      <left/>
      <right/>
      <top/>
      <bottom/>
      <diagonal/>
    </border>
    <border>
      <left style="hair">
        <color rgb="FF000000"/>
      </left>
      <right style="hair">
        <color rgb="FF000000"/>
      </right>
      <top style="hair">
        <color rgb="FF000000"/>
      </top>
      <bottom style="hair">
        <color rgb="FF000000"/>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rgb="FF000000"/>
      </bottom>
      <diagonal/>
    </border>
    <border>
      <left/>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000000"/>
      </top>
      <bottom style="medium">
        <color rgb="FF000000"/>
      </bottom>
      <diagonal/>
    </border>
    <border>
      <left/>
      <right style="thin">
        <color indexed="64"/>
      </right>
      <top/>
      <bottom/>
      <diagonal/>
    </border>
    <border>
      <left/>
      <right/>
      <top/>
      <bottom style="hair">
        <color indexed="64"/>
      </bottom>
      <diagonal/>
    </border>
  </borders>
  <cellStyleXfs count="2">
    <xf numFmtId="0" fontId="0" fillId="0" borderId="0"/>
    <xf numFmtId="9" fontId="1" fillId="0" borderId="0" applyFont="0" applyFill="0" applyBorder="0" applyAlignment="0" applyProtection="0"/>
  </cellStyleXfs>
  <cellXfs count="248">
    <xf numFmtId="0" fontId="0" fillId="0" borderId="0" xfId="0"/>
    <xf numFmtId="164" fontId="3" fillId="2" borderId="1" xfId="0" applyNumberFormat="1" applyFont="1" applyFill="1" applyBorder="1" applyAlignment="1">
      <alignment horizontal="center"/>
    </xf>
    <xf numFmtId="0" fontId="2" fillId="0" borderId="0" xfId="0" applyFont="1"/>
    <xf numFmtId="14" fontId="3" fillId="0" borderId="0" xfId="0" applyNumberFormat="1" applyFont="1"/>
    <xf numFmtId="0" fontId="3" fillId="0" borderId="0" xfId="0" applyFont="1"/>
    <xf numFmtId="0" fontId="4" fillId="0" borderId="0" xfId="0" applyFont="1"/>
    <xf numFmtId="166" fontId="2" fillId="0" borderId="2" xfId="0" applyNumberFormat="1" applyFont="1" applyBorder="1"/>
    <xf numFmtId="167" fontId="2" fillId="0" borderId="2" xfId="0" applyNumberFormat="1" applyFont="1" applyBorder="1"/>
    <xf numFmtId="0" fontId="4" fillId="0" borderId="3" xfId="0" applyFont="1" applyBorder="1"/>
    <xf numFmtId="14" fontId="4" fillId="0" borderId="3" xfId="0" applyNumberFormat="1" applyFont="1" applyBorder="1"/>
    <xf numFmtId="37" fontId="3" fillId="0" borderId="0" xfId="0" applyNumberFormat="1" applyFont="1"/>
    <xf numFmtId="37" fontId="2" fillId="0" borderId="0" xfId="0" applyNumberFormat="1" applyFont="1"/>
    <xf numFmtId="37" fontId="0" fillId="0" borderId="0" xfId="0" applyNumberFormat="1"/>
    <xf numFmtId="165" fontId="0" fillId="0" borderId="0" xfId="0" applyNumberFormat="1"/>
    <xf numFmtId="0" fontId="0" fillId="0" borderId="2" xfId="0" applyBorder="1"/>
    <xf numFmtId="37" fontId="3" fillId="0" borderId="0" xfId="0" applyNumberFormat="1" applyFont="1" applyAlignment="1">
      <alignment horizontal="right"/>
    </xf>
    <xf numFmtId="37" fontId="5" fillId="0" borderId="0" xfId="0" applyNumberFormat="1" applyFont="1"/>
    <xf numFmtId="0" fontId="0" fillId="0" borderId="4" xfId="0" applyBorder="1"/>
    <xf numFmtId="0" fontId="2" fillId="0" borderId="5" xfId="0" applyFont="1" applyBorder="1"/>
    <xf numFmtId="0" fontId="4" fillId="0" borderId="3" xfId="0" applyFont="1" applyBorder="1" applyAlignment="1">
      <alignment horizontal="center"/>
    </xf>
    <xf numFmtId="0" fontId="6" fillId="0" borderId="0" xfId="0" applyFont="1"/>
    <xf numFmtId="9" fontId="0" fillId="0" borderId="0" xfId="1" applyFont="1"/>
    <xf numFmtId="168" fontId="0" fillId="0" borderId="0" xfId="1" applyNumberFormat="1" applyFont="1"/>
    <xf numFmtId="0" fontId="0" fillId="0" borderId="0" xfId="0" applyAlignment="1">
      <alignment horizontal="left"/>
    </xf>
    <xf numFmtId="37" fontId="4" fillId="0" borderId="0" xfId="0" applyNumberFormat="1" applyFont="1"/>
    <xf numFmtId="168" fontId="0" fillId="0" borderId="0" xfId="0" applyNumberFormat="1"/>
    <xf numFmtId="168" fontId="3" fillId="0" borderId="0" xfId="0" applyNumberFormat="1" applyFont="1"/>
    <xf numFmtId="9" fontId="0" fillId="0" borderId="0" xfId="0" applyNumberFormat="1"/>
    <xf numFmtId="0" fontId="0" fillId="0" borderId="0" xfId="0" applyAlignment="1">
      <alignment horizontal="left" indent="1"/>
    </xf>
    <xf numFmtId="14" fontId="4" fillId="0" borderId="0" xfId="0" applyNumberFormat="1" applyFont="1"/>
    <xf numFmtId="1" fontId="7" fillId="0" borderId="3" xfId="0" applyNumberFormat="1" applyFont="1" applyBorder="1"/>
    <xf numFmtId="169" fontId="8" fillId="0" borderId="3" xfId="0" applyNumberFormat="1" applyFont="1" applyBorder="1"/>
    <xf numFmtId="170" fontId="0" fillId="0" borderId="0" xfId="0" applyNumberFormat="1"/>
    <xf numFmtId="0" fontId="0" fillId="0" borderId="0" xfId="0" applyAlignment="1">
      <alignment horizontal="centerContinuous"/>
    </xf>
    <xf numFmtId="0" fontId="9" fillId="0" borderId="0" xfId="0" applyFont="1" applyAlignment="1">
      <alignment horizontal="centerContinuous"/>
    </xf>
    <xf numFmtId="170" fontId="3" fillId="0" borderId="0" xfId="0" applyNumberFormat="1" applyFont="1"/>
    <xf numFmtId="171" fontId="0" fillId="0" borderId="0" xfId="0" applyNumberFormat="1"/>
    <xf numFmtId="171" fontId="3" fillId="0" borderId="0" xfId="0" applyNumberFormat="1" applyFont="1"/>
    <xf numFmtId="0" fontId="2" fillId="0" borderId="6" xfId="0" applyFont="1" applyBorder="1"/>
    <xf numFmtId="0" fontId="0" fillId="0" borderId="6" xfId="0" applyBorder="1"/>
    <xf numFmtId="170" fontId="2" fillId="0" borderId="0" xfId="0" applyNumberFormat="1" applyFont="1"/>
    <xf numFmtId="2" fontId="0" fillId="0" borderId="0" xfId="0" applyNumberFormat="1"/>
    <xf numFmtId="0" fontId="0" fillId="0" borderId="0" xfId="0" applyAlignment="1">
      <alignment horizontal="center"/>
    </xf>
    <xf numFmtId="3" fontId="0" fillId="0" borderId="0" xfId="0" applyNumberFormat="1"/>
    <xf numFmtId="0" fontId="2" fillId="0" borderId="3" xfId="0" applyFont="1" applyBorder="1"/>
    <xf numFmtId="0" fontId="0" fillId="0" borderId="3" xfId="0" applyBorder="1"/>
    <xf numFmtId="0" fontId="2" fillId="0" borderId="0" xfId="0" applyFont="1" applyAlignment="1">
      <alignment horizontal="left" indent="1"/>
    </xf>
    <xf numFmtId="0" fontId="0" fillId="0" borderId="6" xfId="0" applyBorder="1" applyAlignment="1">
      <alignment horizontal="left" indent="1"/>
    </xf>
    <xf numFmtId="37" fontId="3" fillId="0" borderId="6" xfId="0" applyNumberFormat="1" applyFont="1" applyBorder="1"/>
    <xf numFmtId="37" fontId="0" fillId="0" borderId="6" xfId="0" applyNumberFormat="1" applyBorder="1"/>
    <xf numFmtId="3" fontId="3" fillId="0" borderId="0" xfId="0" applyNumberFormat="1" applyFont="1"/>
    <xf numFmtId="172" fontId="3" fillId="2" borderId="1" xfId="0" applyNumberFormat="1" applyFont="1" applyFill="1" applyBorder="1" applyAlignment="1">
      <alignment horizontal="center"/>
    </xf>
    <xf numFmtId="3" fontId="2" fillId="0" borderId="0" xfId="0" applyNumberFormat="1" applyFont="1"/>
    <xf numFmtId="0" fontId="2" fillId="0" borderId="6" xfId="0" applyFont="1" applyBorder="1" applyAlignment="1">
      <alignment horizontal="left"/>
    </xf>
    <xf numFmtId="37" fontId="2" fillId="0" borderId="7" xfId="0" applyNumberFormat="1" applyFont="1" applyBorder="1" applyAlignment="1">
      <alignment horizontal="left"/>
    </xf>
    <xf numFmtId="0" fontId="2" fillId="0" borderId="7" xfId="0" applyFont="1" applyBorder="1"/>
    <xf numFmtId="0" fontId="2" fillId="0" borderId="0" xfId="0" applyFont="1" applyAlignment="1">
      <alignment horizontal="left"/>
    </xf>
    <xf numFmtId="37" fontId="0" fillId="0" borderId="0" xfId="1" applyNumberFormat="1" applyFont="1"/>
    <xf numFmtId="37" fontId="2" fillId="0" borderId="0" xfId="1" applyNumberFormat="1" applyFont="1"/>
    <xf numFmtId="37" fontId="3" fillId="0" borderId="0" xfId="1" applyNumberFormat="1" applyFont="1"/>
    <xf numFmtId="37" fontId="1" fillId="0" borderId="0" xfId="1" applyNumberFormat="1" applyFont="1"/>
    <xf numFmtId="37" fontId="0" fillId="0" borderId="0" xfId="0" applyNumberFormat="1" applyAlignment="1">
      <alignment horizontal="right"/>
    </xf>
    <xf numFmtId="37" fontId="0" fillId="0" borderId="6" xfId="0" applyNumberFormat="1" applyBorder="1" applyAlignment="1">
      <alignment horizontal="left" indent="5"/>
    </xf>
    <xf numFmtId="168" fontId="1" fillId="0" borderId="0" xfId="1" applyNumberFormat="1" applyFont="1"/>
    <xf numFmtId="168" fontId="3" fillId="0" borderId="0" xfId="1" applyNumberFormat="1" applyFont="1"/>
    <xf numFmtId="0" fontId="0" fillId="0" borderId="0" xfId="0" quotePrefix="1" applyAlignment="1">
      <alignment horizontal="left" indent="1"/>
    </xf>
    <xf numFmtId="0" fontId="0" fillId="0" borderId="6" xfId="0" quotePrefix="1" applyBorder="1" applyAlignment="1">
      <alignment horizontal="left" indent="1"/>
    </xf>
    <xf numFmtId="37" fontId="2" fillId="0" borderId="6" xfId="0" applyNumberFormat="1" applyFont="1" applyBorder="1"/>
    <xf numFmtId="0" fontId="10" fillId="0" borderId="8" xfId="0" applyFont="1" applyBorder="1" applyAlignment="1">
      <alignment horizontal="left" indent="2"/>
    </xf>
    <xf numFmtId="37" fontId="0" fillId="0" borderId="9" xfId="0" applyNumberFormat="1" applyBorder="1"/>
    <xf numFmtId="0" fontId="0" fillId="0" borderId="9" xfId="0" applyBorder="1"/>
    <xf numFmtId="37" fontId="11" fillId="0" borderId="9" xfId="0" applyNumberFormat="1" applyFont="1" applyBorder="1" applyAlignment="1">
      <alignment horizontal="right"/>
    </xf>
    <xf numFmtId="37" fontId="11" fillId="0" borderId="10" xfId="0" applyNumberFormat="1" applyFont="1" applyBorder="1" applyAlignment="1">
      <alignment horizontal="right"/>
    </xf>
    <xf numFmtId="0" fontId="12" fillId="0" borderId="0" xfId="0" applyFont="1" applyAlignment="1">
      <alignment horizontal="left"/>
    </xf>
    <xf numFmtId="0" fontId="14" fillId="0" borderId="11" xfId="0" applyFont="1" applyBorder="1" applyAlignment="1">
      <alignment horizontal="left" indent="1"/>
    </xf>
    <xf numFmtId="37" fontId="14" fillId="0" borderId="11" xfId="0" applyNumberFormat="1" applyFont="1" applyBorder="1"/>
    <xf numFmtId="10" fontId="3" fillId="0" borderId="0" xfId="0" applyNumberFormat="1" applyFont="1"/>
    <xf numFmtId="37" fontId="15" fillId="0" borderId="0" xfId="0" applyNumberFormat="1" applyFont="1"/>
    <xf numFmtId="10" fontId="0" fillId="0" borderId="0" xfId="1" applyNumberFormat="1" applyFont="1"/>
    <xf numFmtId="10" fontId="3" fillId="0" borderId="0" xfId="1" applyNumberFormat="1" applyFont="1"/>
    <xf numFmtId="3" fontId="2" fillId="0" borderId="0" xfId="0" applyNumberFormat="1" applyFont="1" applyAlignment="1">
      <alignment horizontal="left" indent="1"/>
    </xf>
    <xf numFmtId="37" fontId="13" fillId="0" borderId="0" xfId="0" applyNumberFormat="1" applyFont="1"/>
    <xf numFmtId="9" fontId="3" fillId="0" borderId="0" xfId="1" applyFont="1"/>
    <xf numFmtId="174" fontId="3" fillId="0" borderId="0" xfId="0" applyNumberFormat="1" applyFont="1"/>
    <xf numFmtId="3" fontId="13" fillId="0" borderId="0" xfId="0" applyNumberFormat="1" applyFont="1"/>
    <xf numFmtId="37" fontId="13" fillId="0" borderId="6" xfId="0" applyNumberFormat="1" applyFont="1" applyBorder="1"/>
    <xf numFmtId="37" fontId="13" fillId="0" borderId="6" xfId="0" applyNumberFormat="1" applyFont="1" applyBorder="1" applyAlignment="1">
      <alignment horizontal="left" indent="1"/>
    </xf>
    <xf numFmtId="0" fontId="10" fillId="0" borderId="0" xfId="0" applyFont="1" applyAlignment="1">
      <alignment horizontal="left" indent="2"/>
    </xf>
    <xf numFmtId="37" fontId="11" fillId="0" borderId="0" xfId="0" applyNumberFormat="1" applyFont="1" applyAlignment="1">
      <alignment horizontal="right"/>
    </xf>
    <xf numFmtId="0" fontId="0" fillId="0" borderId="0" xfId="0" applyAlignment="1">
      <alignment horizontal="right" indent="1"/>
    </xf>
    <xf numFmtId="14" fontId="0" fillId="0" borderId="0" xfId="0" applyNumberFormat="1"/>
    <xf numFmtId="166" fontId="2" fillId="0" borderId="2" xfId="0" applyNumberFormat="1" applyFont="1" applyBorder="1" applyAlignment="1">
      <alignment horizontal="centerContinuous"/>
    </xf>
    <xf numFmtId="14" fontId="4" fillId="0" borderId="3" xfId="0" applyNumberFormat="1" applyFont="1" applyBorder="1" applyAlignment="1">
      <alignment horizontal="centerContinuous"/>
    </xf>
    <xf numFmtId="0" fontId="2" fillId="0" borderId="12" xfId="0" applyFont="1" applyBorder="1"/>
    <xf numFmtId="0" fontId="17" fillId="0" borderId="12" xfId="0" applyFont="1" applyBorder="1"/>
    <xf numFmtId="2" fontId="2" fillId="0" borderId="12" xfId="0" applyNumberFormat="1" applyFont="1" applyBorder="1" applyAlignment="1">
      <alignment horizontal="centerContinuous"/>
    </xf>
    <xf numFmtId="0" fontId="0" fillId="0" borderId="12" xfId="0" applyBorder="1" applyAlignment="1">
      <alignment horizontal="centerContinuous"/>
    </xf>
    <xf numFmtId="165" fontId="18" fillId="0" borderId="0" xfId="0" applyNumberFormat="1" applyFont="1"/>
    <xf numFmtId="2" fontId="2" fillId="0" borderId="0" xfId="0" applyNumberFormat="1" applyFont="1"/>
    <xf numFmtId="175" fontId="15" fillId="0" borderId="0" xfId="0" applyNumberFormat="1" applyFont="1"/>
    <xf numFmtId="175" fontId="0" fillId="0" borderId="0" xfId="0" applyNumberFormat="1"/>
    <xf numFmtId="37" fontId="0" fillId="0" borderId="3" xfId="0" applyNumberFormat="1" applyBorder="1"/>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left" indent="2"/>
    </xf>
    <xf numFmtId="0" fontId="0" fillId="0" borderId="0" xfId="0" applyAlignment="1">
      <alignment horizontal="left" indent="3"/>
    </xf>
    <xf numFmtId="0" fontId="0" fillId="0" borderId="3" xfId="0" applyBorder="1" applyAlignment="1">
      <alignment horizontal="left" indent="1"/>
    </xf>
    <xf numFmtId="1" fontId="0" fillId="0" borderId="0" xfId="0" applyNumberFormat="1"/>
    <xf numFmtId="1" fontId="0" fillId="0" borderId="3" xfId="0" applyNumberFormat="1" applyBorder="1"/>
    <xf numFmtId="37" fontId="13" fillId="0" borderId="3" xfId="0" applyNumberFormat="1" applyFont="1" applyBorder="1"/>
    <xf numFmtId="0" fontId="0" fillId="0" borderId="2" xfId="0" applyBorder="1" applyAlignment="1">
      <alignment horizontal="left"/>
    </xf>
    <xf numFmtId="37" fontId="13" fillId="0" borderId="2" xfId="0" applyNumberFormat="1" applyFont="1" applyBorder="1"/>
    <xf numFmtId="0" fontId="13" fillId="0" borderId="3" xfId="0" applyFont="1" applyBorder="1" applyAlignment="1">
      <alignment horizontal="left" indent="1"/>
    </xf>
    <xf numFmtId="37" fontId="3" fillId="0" borderId="3" xfId="0" applyNumberFormat="1" applyFont="1" applyBorder="1"/>
    <xf numFmtId="0" fontId="6" fillId="0" borderId="0" xfId="0" applyFont="1" applyAlignment="1">
      <alignment horizontal="left"/>
    </xf>
    <xf numFmtId="9" fontId="0" fillId="0" borderId="3" xfId="1" applyFont="1" applyBorder="1"/>
    <xf numFmtId="9" fontId="0" fillId="0" borderId="0" xfId="1" applyFont="1" applyBorder="1"/>
    <xf numFmtId="168" fontId="13" fillId="0" borderId="0" xfId="1" applyNumberFormat="1" applyFont="1"/>
    <xf numFmtId="168" fontId="13" fillId="0" borderId="3" xfId="1" applyNumberFormat="1" applyFont="1" applyBorder="1"/>
    <xf numFmtId="3" fontId="18" fillId="0" borderId="0" xfId="0" applyNumberFormat="1" applyFont="1"/>
    <xf numFmtId="168" fontId="18" fillId="0" borderId="0" xfId="1" applyNumberFormat="1" applyFont="1"/>
    <xf numFmtId="37" fontId="18" fillId="0" borderId="0" xfId="0" applyNumberFormat="1" applyFont="1"/>
    <xf numFmtId="168" fontId="0" fillId="0" borderId="3" xfId="1" applyNumberFormat="1" applyFont="1" applyBorder="1"/>
    <xf numFmtId="168" fontId="2" fillId="0" borderId="0" xfId="0" applyNumberFormat="1" applyFont="1"/>
    <xf numFmtId="0" fontId="0" fillId="0" borderId="0" xfId="0" quotePrefix="1"/>
    <xf numFmtId="2" fontId="13" fillId="0" borderId="0" xfId="0" applyNumberFormat="1" applyFont="1"/>
    <xf numFmtId="37" fontId="18" fillId="0" borderId="3" xfId="0" applyNumberFormat="1" applyFont="1" applyBorder="1"/>
    <xf numFmtId="168" fontId="13" fillId="0" borderId="3" xfId="1" applyNumberFormat="1" applyFont="1" applyBorder="1" applyAlignment="1">
      <alignment horizontal="right"/>
    </xf>
    <xf numFmtId="37" fontId="19" fillId="0" borderId="0" xfId="0" applyNumberFormat="1" applyFont="1"/>
    <xf numFmtId="176" fontId="3" fillId="0" borderId="0" xfId="0" applyNumberFormat="1" applyFont="1"/>
    <xf numFmtId="176" fontId="13" fillId="0" borderId="0" xfId="0" applyNumberFormat="1" applyFont="1"/>
    <xf numFmtId="175" fontId="3" fillId="0" borderId="0" xfId="0" applyNumberFormat="1" applyFont="1" applyAlignment="1">
      <alignment horizontal="center"/>
    </xf>
    <xf numFmtId="168" fontId="13" fillId="0" borderId="0" xfId="0" applyNumberFormat="1" applyFont="1"/>
    <xf numFmtId="39" fontId="13" fillId="0" borderId="0" xfId="0" applyNumberFormat="1" applyFont="1" applyAlignment="1">
      <alignment horizontal="right"/>
    </xf>
    <xf numFmtId="39" fontId="3" fillId="0" borderId="0" xfId="0" applyNumberFormat="1" applyFont="1"/>
    <xf numFmtId="39" fontId="13" fillId="0" borderId="0" xfId="0" applyNumberFormat="1" applyFont="1"/>
    <xf numFmtId="175" fontId="3" fillId="0" borderId="0" xfId="0" applyNumberFormat="1" applyFont="1" applyAlignment="1">
      <alignment horizontal="right"/>
    </xf>
    <xf numFmtId="175" fontId="13" fillId="0" borderId="0" xfId="0" applyNumberFormat="1" applyFont="1" applyAlignment="1">
      <alignment horizontal="right"/>
    </xf>
    <xf numFmtId="37" fontId="13" fillId="0" borderId="0" xfId="0" applyNumberFormat="1" applyFont="1" applyAlignment="1">
      <alignment horizontal="right"/>
    </xf>
    <xf numFmtId="175" fontId="3" fillId="0" borderId="14" xfId="0" applyNumberFormat="1" applyFont="1" applyBorder="1" applyAlignment="1">
      <alignment horizontal="center"/>
    </xf>
    <xf numFmtId="2" fontId="18" fillId="0" borderId="0" xfId="0" applyNumberFormat="1" applyFont="1"/>
    <xf numFmtId="168" fontId="18" fillId="0" borderId="3" xfId="1" applyNumberFormat="1" applyFont="1" applyBorder="1"/>
    <xf numFmtId="37" fontId="2" fillId="0" borderId="0" xfId="0" applyNumberFormat="1" applyFont="1" applyAlignment="1">
      <alignment horizontal="right"/>
    </xf>
    <xf numFmtId="0" fontId="2" fillId="0" borderId="15" xfId="0" applyFont="1" applyBorder="1"/>
    <xf numFmtId="0" fontId="0" fillId="0" borderId="15" xfId="0" applyBorder="1"/>
    <xf numFmtId="14" fontId="13" fillId="0" borderId="0" xfId="0" applyNumberFormat="1" applyFont="1"/>
    <xf numFmtId="0" fontId="0" fillId="0" borderId="2" xfId="0" applyBorder="1" applyAlignment="1">
      <alignment horizontal="center"/>
    </xf>
    <xf numFmtId="0" fontId="0" fillId="0" borderId="2" xfId="0" applyBorder="1" applyAlignment="1">
      <alignment horizontal="centerContinuous"/>
    </xf>
    <xf numFmtId="0" fontId="6" fillId="0" borderId="0" xfId="0" applyFont="1" applyAlignment="1">
      <alignment horizontal="center"/>
    </xf>
    <xf numFmtId="168" fontId="4" fillId="0" borderId="0" xfId="1" applyNumberFormat="1" applyFont="1"/>
    <xf numFmtId="171" fontId="4" fillId="0" borderId="0" xfId="0" applyNumberFormat="1" applyFont="1"/>
    <xf numFmtId="0" fontId="18" fillId="0" borderId="0" xfId="0" applyFont="1"/>
    <xf numFmtId="0" fontId="0" fillId="0" borderId="3" xfId="0" applyBorder="1" applyAlignment="1">
      <alignment horizontal="center"/>
    </xf>
    <xf numFmtId="39" fontId="2" fillId="0" borderId="0" xfId="0" applyNumberFormat="1" applyFont="1"/>
    <xf numFmtId="4" fontId="0" fillId="0" borderId="0" xfId="0" applyNumberFormat="1"/>
    <xf numFmtId="39" fontId="0" fillId="0" borderId="0" xfId="0" applyNumberFormat="1"/>
    <xf numFmtId="171" fontId="2" fillId="0" borderId="0" xfId="0" applyNumberFormat="1" applyFont="1"/>
    <xf numFmtId="39" fontId="13" fillId="0" borderId="0" xfId="1" applyNumberFormat="1" applyFont="1"/>
    <xf numFmtId="39" fontId="18" fillId="0" borderId="0" xfId="0" applyNumberFormat="1" applyFont="1"/>
    <xf numFmtId="0" fontId="4" fillId="0" borderId="0" xfId="0" applyFont="1" applyAlignment="1">
      <alignment horizontal="left" indent="1"/>
    </xf>
    <xf numFmtId="168" fontId="4" fillId="0" borderId="0" xfId="1" applyNumberFormat="1" applyFont="1" applyBorder="1"/>
    <xf numFmtId="171" fontId="0" fillId="0" borderId="3" xfId="0" applyNumberFormat="1" applyBorder="1"/>
    <xf numFmtId="168" fontId="1" fillId="0" borderId="3" xfId="1" applyNumberFormat="1" applyFont="1" applyBorder="1"/>
    <xf numFmtId="168" fontId="20" fillId="0" borderId="0" xfId="1" applyNumberFormat="1" applyFont="1" applyBorder="1"/>
    <xf numFmtId="171" fontId="2" fillId="0" borderId="3" xfId="0" applyNumberFormat="1" applyFont="1" applyBorder="1"/>
    <xf numFmtId="39" fontId="2" fillId="0" borderId="3" xfId="0" applyNumberFormat="1" applyFont="1" applyBorder="1"/>
    <xf numFmtId="175" fontId="3" fillId="0" borderId="0" xfId="0" applyNumberFormat="1" applyFont="1"/>
    <xf numFmtId="9" fontId="4" fillId="0" borderId="0" xfId="1" applyFont="1"/>
    <xf numFmtId="177" fontId="0" fillId="0" borderId="0" xfId="1" applyNumberFormat="1" applyFont="1"/>
    <xf numFmtId="177" fontId="3" fillId="0" borderId="0" xfId="0" applyNumberFormat="1" applyFont="1"/>
    <xf numFmtId="177" fontId="18" fillId="0" borderId="0" xfId="1" applyNumberFormat="1" applyFont="1"/>
    <xf numFmtId="168" fontId="13" fillId="0" borderId="0" xfId="1" applyNumberFormat="1" applyFont="1" applyAlignment="1">
      <alignment horizontal="right"/>
    </xf>
    <xf numFmtId="39" fontId="5" fillId="0" borderId="0" xfId="0" applyNumberFormat="1" applyFont="1"/>
    <xf numFmtId="177" fontId="13" fillId="0" borderId="0" xfId="0" applyNumberFormat="1" applyFont="1"/>
    <xf numFmtId="177" fontId="13" fillId="0" borderId="0" xfId="0" applyNumberFormat="1" applyFont="1" applyAlignment="1">
      <alignment horizontal="right"/>
    </xf>
    <xf numFmtId="178" fontId="3" fillId="0" borderId="0" xfId="0" applyNumberFormat="1" applyFont="1"/>
    <xf numFmtId="9" fontId="13" fillId="0" borderId="0" xfId="1" applyFont="1"/>
    <xf numFmtId="39" fontId="13" fillId="0" borderId="0" xfId="1" applyNumberFormat="1" applyFont="1" applyAlignment="1">
      <alignment horizontal="right"/>
    </xf>
    <xf numFmtId="4" fontId="13" fillId="0" borderId="0" xfId="0" applyNumberFormat="1" applyFont="1"/>
    <xf numFmtId="2" fontId="3" fillId="0" borderId="0" xfId="0" applyNumberFormat="1" applyFont="1"/>
    <xf numFmtId="9" fontId="18" fillId="0" borderId="0" xfId="1" applyFont="1"/>
    <xf numFmtId="9" fontId="18" fillId="0" borderId="3" xfId="1" applyFont="1" applyBorder="1"/>
    <xf numFmtId="0" fontId="4" fillId="0" borderId="0" xfId="0" applyFont="1" applyAlignment="1">
      <alignment horizontal="left" indent="2"/>
    </xf>
    <xf numFmtId="168" fontId="5" fillId="0" borderId="0" xfId="1" applyNumberFormat="1" applyFont="1"/>
    <xf numFmtId="10" fontId="0" fillId="0" borderId="0" xfId="0" applyNumberFormat="1"/>
    <xf numFmtId="168" fontId="19" fillId="0" borderId="0" xfId="1" applyNumberFormat="1" applyFont="1"/>
    <xf numFmtId="37" fontId="13" fillId="0" borderId="0" xfId="1" applyNumberFormat="1" applyFont="1"/>
    <xf numFmtId="175" fontId="13" fillId="0" borderId="14" xfId="0" applyNumberFormat="1" applyFont="1" applyBorder="1" applyAlignment="1">
      <alignment horizontal="center"/>
    </xf>
    <xf numFmtId="0" fontId="2" fillId="0" borderId="3" xfId="0" applyFont="1" applyBorder="1" applyAlignment="1">
      <alignment horizontal="centerContinuous"/>
    </xf>
    <xf numFmtId="0" fontId="0" fillId="0" borderId="0" xfId="0" applyAlignment="1">
      <alignment horizontal="right"/>
    </xf>
    <xf numFmtId="165" fontId="2" fillId="0" borderId="0" xfId="0" applyNumberFormat="1" applyFont="1"/>
    <xf numFmtId="0" fontId="2" fillId="0" borderId="3" xfId="0" applyFont="1" applyBorder="1" applyAlignment="1">
      <alignment horizontal="left"/>
    </xf>
    <xf numFmtId="176" fontId="13" fillId="0" borderId="3" xfId="0" applyNumberFormat="1" applyFont="1" applyBorder="1"/>
    <xf numFmtId="176" fontId="3" fillId="0" borderId="3" xfId="0" applyNumberFormat="1" applyFont="1" applyBorder="1"/>
    <xf numFmtId="0" fontId="0" fillId="0" borderId="12" xfId="0" applyBorder="1"/>
    <xf numFmtId="0" fontId="21" fillId="0" borderId="0" xfId="0" applyFont="1" applyAlignment="1">
      <alignment horizontal="right"/>
    </xf>
    <xf numFmtId="10" fontId="2" fillId="0" borderId="0" xfId="0" applyNumberFormat="1" applyFont="1"/>
    <xf numFmtId="37" fontId="2" fillId="0" borderId="0" xfId="0" applyNumberFormat="1" applyFont="1" applyAlignment="1">
      <alignment horizontal="left"/>
    </xf>
    <xf numFmtId="0" fontId="10" fillId="0" borderId="9" xfId="0" applyFont="1" applyBorder="1" applyAlignment="1">
      <alignment horizontal="left" indent="2"/>
    </xf>
    <xf numFmtId="173" fontId="13" fillId="0" borderId="0" xfId="0" applyNumberFormat="1" applyFont="1"/>
    <xf numFmtId="10" fontId="13" fillId="0" borderId="0" xfId="0" applyNumberFormat="1" applyFont="1"/>
    <xf numFmtId="1" fontId="22" fillId="0" borderId="3" xfId="0" applyNumberFormat="1" applyFont="1" applyBorder="1"/>
    <xf numFmtId="39" fontId="18" fillId="0" borderId="0" xfId="1" applyNumberFormat="1" applyFont="1"/>
    <xf numFmtId="10" fontId="13" fillId="0" borderId="0" xfId="0" applyNumberFormat="1" applyFont="1" applyAlignment="1">
      <alignment horizontal="right"/>
    </xf>
    <xf numFmtId="10" fontId="13" fillId="0" borderId="3" xfId="0" applyNumberFormat="1" applyFont="1" applyBorder="1"/>
    <xf numFmtId="168" fontId="13" fillId="0" borderId="2" xfId="1" applyNumberFormat="1" applyFont="1" applyBorder="1"/>
    <xf numFmtId="10" fontId="3" fillId="0" borderId="0" xfId="0" applyNumberFormat="1" applyFont="1" applyAlignment="1">
      <alignment horizontal="right"/>
    </xf>
    <xf numFmtId="10" fontId="5" fillId="0" borderId="0" xfId="0" applyNumberFormat="1" applyFont="1"/>
    <xf numFmtId="10" fontId="5" fillId="0" borderId="0" xfId="0" applyNumberFormat="1" applyFont="1" applyAlignment="1">
      <alignment horizontal="right"/>
    </xf>
    <xf numFmtId="37" fontId="5" fillId="0" borderId="0" xfId="1" applyNumberFormat="1" applyFont="1"/>
    <xf numFmtId="0" fontId="13" fillId="0" borderId="0" xfId="1" applyNumberFormat="1" applyFont="1"/>
    <xf numFmtId="0" fontId="4" fillId="0" borderId="0" xfId="0" applyFont="1" applyAlignment="1">
      <alignment horizontal="left"/>
    </xf>
    <xf numFmtId="168" fontId="22" fillId="0" borderId="0" xfId="1" applyNumberFormat="1" applyFont="1"/>
    <xf numFmtId="9" fontId="2" fillId="0" borderId="0" xfId="1" applyFont="1"/>
    <xf numFmtId="171" fontId="13" fillId="0" borderId="0" xfId="0" applyNumberFormat="1" applyFont="1"/>
    <xf numFmtId="175" fontId="13" fillId="0" borderId="0" xfId="0" applyNumberFormat="1" applyFont="1"/>
    <xf numFmtId="168" fontId="0" fillId="0" borderId="3" xfId="0" applyNumberFormat="1" applyBorder="1"/>
    <xf numFmtId="168" fontId="2" fillId="0" borderId="0" xfId="1" applyNumberFormat="1" applyFont="1"/>
    <xf numFmtId="165" fontId="0" fillId="0" borderId="3" xfId="0" applyNumberFormat="1" applyBorder="1"/>
    <xf numFmtId="9" fontId="3" fillId="0" borderId="3" xfId="1" applyFont="1" applyBorder="1"/>
    <xf numFmtId="37" fontId="0" fillId="0" borderId="17" xfId="0" applyNumberFormat="1" applyBorder="1"/>
    <xf numFmtId="165" fontId="13" fillId="0" borderId="0" xfId="0" applyNumberFormat="1" applyFont="1"/>
    <xf numFmtId="168" fontId="4" fillId="0" borderId="0" xfId="0" applyNumberFormat="1" applyFont="1"/>
    <xf numFmtId="3" fontId="4" fillId="0" borderId="0" xfId="0" applyNumberFormat="1" applyFont="1"/>
    <xf numFmtId="14" fontId="18" fillId="0" borderId="0" xfId="0" applyNumberFormat="1" applyFont="1"/>
    <xf numFmtId="165" fontId="19" fillId="0" borderId="0" xfId="0" applyNumberFormat="1" applyFont="1"/>
    <xf numFmtId="165" fontId="18" fillId="0" borderId="3" xfId="0" applyNumberFormat="1" applyFont="1" applyBorder="1"/>
    <xf numFmtId="180" fontId="0" fillId="0" borderId="0" xfId="0" applyNumberFormat="1"/>
    <xf numFmtId="37" fontId="18" fillId="0" borderId="0" xfId="0" applyNumberFormat="1" applyFont="1" applyAlignment="1">
      <alignment horizontal="right"/>
    </xf>
    <xf numFmtId="168" fontId="13" fillId="0" borderId="0" xfId="1" applyNumberFormat="1" applyFont="1" applyBorder="1"/>
    <xf numFmtId="168" fontId="5" fillId="0" borderId="0" xfId="1" applyNumberFormat="1" applyFont="1" applyBorder="1"/>
    <xf numFmtId="0" fontId="4" fillId="0" borderId="0" xfId="0" applyFont="1" applyAlignment="1">
      <alignment horizontal="center"/>
    </xf>
    <xf numFmtId="10" fontId="13" fillId="0" borderId="0" xfId="1" applyNumberFormat="1" applyFont="1"/>
    <xf numFmtId="9" fontId="0" fillId="0" borderId="0" xfId="1" applyFont="1" applyAlignment="1">
      <alignment vertical="center"/>
    </xf>
    <xf numFmtId="37" fontId="23" fillId="0" borderId="0" xfId="0" applyNumberFormat="1" applyFont="1"/>
    <xf numFmtId="3" fontId="23" fillId="0" borderId="0" xfId="0" applyNumberFormat="1" applyFont="1"/>
    <xf numFmtId="181" fontId="3" fillId="0" borderId="0" xfId="0" applyNumberFormat="1" applyFont="1"/>
    <xf numFmtId="182" fontId="0" fillId="0" borderId="0" xfId="1" applyNumberFormat="1" applyFont="1"/>
    <xf numFmtId="0" fontId="0" fillId="0" borderId="0" xfId="0" applyBorder="1"/>
    <xf numFmtId="0" fontId="2" fillId="0" borderId="0" xfId="0" applyFont="1" applyBorder="1" applyAlignment="1">
      <alignment horizontal="centerContinuous"/>
    </xf>
    <xf numFmtId="0" fontId="0" fillId="0" borderId="0" xfId="0" applyBorder="1" applyAlignment="1">
      <alignment horizontal="centerContinuous"/>
    </xf>
    <xf numFmtId="0" fontId="2" fillId="0" borderId="0" xfId="0" applyFont="1" applyAlignment="1">
      <alignment horizontal="centerContinuous"/>
    </xf>
    <xf numFmtId="0" fontId="2" fillId="0" borderId="0" xfId="0" applyFont="1" applyAlignment="1">
      <alignment horizontal="right"/>
    </xf>
    <xf numFmtId="37" fontId="13" fillId="3" borderId="16" xfId="0" applyNumberFormat="1" applyFont="1" applyFill="1" applyBorder="1"/>
    <xf numFmtId="37" fontId="3" fillId="3" borderId="16" xfId="0" applyNumberFormat="1" applyFont="1" applyFill="1" applyBorder="1"/>
    <xf numFmtId="37" fontId="24" fillId="0" borderId="0" xfId="0" applyNumberFormat="1" applyFont="1"/>
    <xf numFmtId="9" fontId="3" fillId="3" borderId="3" xfId="0" applyNumberFormat="1" applyFont="1" applyFill="1" applyBorder="1"/>
    <xf numFmtId="9" fontId="0" fillId="3" borderId="3" xfId="1" applyFont="1" applyFill="1" applyBorder="1"/>
  </cellXfs>
  <cellStyles count="2">
    <cellStyle name="Normal" xfId="0" builtinId="0"/>
    <cellStyle name="Percent" xfId="1" builtinId="5"/>
  </cellStyles>
  <dxfs count="4">
    <dxf>
      <font>
        <color rgb="FF008000"/>
      </font>
    </dxf>
    <dxf>
      <font>
        <color rgb="FFFF0000"/>
      </font>
    </dxf>
    <dxf>
      <font>
        <color rgb="FF008000"/>
      </font>
    </dxf>
    <dxf>
      <font>
        <color rgb="FFFF0000"/>
      </font>
    </dxf>
  </dxfs>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06/relationships/rdSupportingPropertyBagStructure" Target="richData/rdsupportingpropertybagstructure.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ichStyles" Target="richData/richStyles.xml"/><Relationship Id="rId2" Type="http://schemas.openxmlformats.org/officeDocument/2006/relationships/worksheet" Target="worksheets/sheet2.xml"/><Relationship Id="rId16" Type="http://schemas.microsoft.com/office/2017/06/relationships/rdArray" Target="richData/rdarray.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microsoft.com/office/2017/06/relationships/rdSupportingPropertyBag" Target="richData/rdsupporting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yannick laurent" id="{0EA8FBA8-3289-4361-B502-556375082B8F}" userId="7938e0bd69841363" providerId="Windows Liv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8">
  <a r="1" c="255">
    <v t="i">1</v>
    <v t="i">2</v>
    <v t="i">3</v>
    <v t="i">4</v>
    <v t="i">5</v>
    <v t="i">8</v>
    <v t="i">9</v>
    <v t="i">10</v>
    <v t="i">11</v>
    <v t="i">12</v>
    <v t="i">15</v>
    <v t="i">16</v>
    <v t="i">17</v>
    <v t="i">18</v>
    <v t="i">19</v>
    <v t="i">22</v>
    <v t="i">23</v>
    <v t="i">24</v>
    <v t="i">25</v>
    <v t="i">26</v>
    <v t="i">29</v>
    <v t="i">30</v>
    <v t="i">31</v>
    <v t="i">32</v>
    <v t="i">33</v>
    <v t="i">36</v>
    <v t="i">37</v>
    <v t="i">38</v>
    <v t="i">39</v>
    <v t="i">40</v>
    <v t="i">43</v>
    <v t="i">44</v>
    <v t="i">45</v>
    <v t="i">46</v>
    <v t="i">47</v>
    <v t="i">50</v>
    <v t="i">51</v>
    <v t="i">52</v>
    <v t="i">53</v>
    <v t="i">54</v>
    <v t="i">57</v>
    <v t="i">58</v>
    <v t="i">59</v>
    <v t="i">60</v>
    <v t="i">61</v>
    <v t="i">64</v>
    <v t="i">65</v>
    <v t="i">66</v>
    <v t="i">67</v>
    <v t="i">68</v>
    <v t="i">71</v>
    <v t="i">72</v>
    <v t="i">73</v>
    <v t="i">74</v>
    <v t="i">75</v>
    <v t="i">78</v>
    <v t="i">79</v>
    <v t="i">80</v>
    <v t="i">81</v>
    <v t="i">82</v>
    <v t="i">85</v>
    <v t="i">86</v>
    <v t="i">87</v>
    <v t="i">88</v>
    <v t="i">89</v>
    <v t="i">92</v>
    <v t="i">93</v>
    <v t="i">94</v>
    <v t="i">95</v>
    <v t="i">100</v>
    <v t="i">101</v>
    <v t="i">102</v>
    <v t="i">103</v>
    <v t="i">106</v>
    <v t="i">107</v>
    <v t="i">108</v>
    <v t="i">109</v>
    <v t="i">110</v>
    <v t="i">113</v>
    <v t="i">114</v>
    <v t="i">115</v>
    <v t="i">116</v>
    <v t="i">117</v>
    <v t="i">121</v>
    <v t="i">122</v>
    <v t="i">123</v>
    <v t="i">124</v>
    <v t="i">127</v>
    <v t="i">128</v>
    <v t="i">129</v>
    <v t="i">130</v>
    <v t="i">131</v>
    <v t="i">134</v>
    <v t="i">135</v>
    <v t="i">136</v>
    <v t="i">137</v>
    <v t="i">138</v>
    <v t="i">141</v>
    <v t="i">142</v>
    <v t="i">143</v>
    <v t="i">144</v>
    <v t="i">145</v>
    <v t="i">148</v>
    <v t="i">149</v>
    <v t="i">150</v>
    <v t="i">151</v>
    <v t="i">152</v>
    <v t="i">155</v>
    <v t="i">156</v>
    <v t="i">157</v>
    <v t="i">158</v>
    <v t="i">159</v>
    <v t="i">162</v>
    <v t="i">163</v>
    <v t="i">164</v>
    <v t="i">165</v>
    <v t="i">166</v>
    <v t="i">169</v>
    <v t="i">170</v>
    <v t="i">171</v>
    <v t="i">172</v>
    <v t="i">173</v>
    <v t="i">176</v>
    <v t="i">177</v>
    <v t="i">178</v>
    <v t="i">179</v>
    <v t="i">180</v>
    <v t="i">183</v>
    <v t="i">184</v>
    <v t="i">185</v>
    <v t="i">186</v>
    <v t="i">187</v>
    <v t="i">190</v>
    <v t="i">191</v>
    <v t="i">192</v>
    <v t="i">193</v>
    <v t="i">194</v>
    <v t="i">197</v>
    <v t="i">198</v>
    <v t="i">199</v>
    <v t="i">200</v>
    <v t="i">201</v>
    <v t="i">204</v>
    <v t="i">205</v>
    <v t="i">206</v>
    <v t="i">207</v>
    <v t="i">208</v>
    <v t="i">211</v>
    <v t="i">212</v>
    <v t="i">213</v>
    <v t="i">214</v>
    <v t="i">215</v>
    <v t="i">218</v>
    <v t="i">219</v>
    <v t="i">220</v>
    <v t="i">221</v>
    <v t="i">222</v>
    <v t="i">225</v>
    <v t="i">226</v>
    <v t="i">227</v>
    <v t="i">228</v>
    <v t="i">229</v>
    <v t="i">232</v>
    <v t="i">233</v>
    <v t="i">234</v>
    <v t="i">235</v>
    <v t="i">236</v>
    <v t="i">239</v>
    <v t="i">240</v>
    <v t="i">241</v>
    <v t="i">242</v>
    <v t="i">243</v>
    <v t="i">246</v>
    <v t="i">247</v>
    <v t="i">248</v>
    <v t="i">249</v>
    <v t="i">250</v>
    <v t="i">253</v>
    <v t="i">254</v>
    <v t="i">255</v>
    <v t="i">256</v>
    <v t="i">257</v>
    <v t="i">260</v>
    <v t="i">261</v>
    <v t="i">262</v>
    <v t="i">263</v>
    <v t="i">264</v>
    <v t="i">267</v>
    <v t="i">268</v>
    <v t="i">269</v>
    <v t="i">270</v>
    <v t="i">271</v>
    <v t="i">274</v>
    <v t="i">275</v>
    <v t="i">276</v>
    <v t="i">277</v>
    <v t="i">278</v>
    <v t="i">281</v>
    <v t="i">282</v>
    <v t="i">283</v>
    <v t="i">284</v>
    <v t="i">285</v>
    <v t="i">288</v>
    <v t="i">289</v>
    <v t="i">290</v>
    <v t="i">291</v>
    <v t="i">292</v>
    <v t="i">295</v>
    <v t="i">296</v>
    <v t="i">297</v>
    <v t="i">298</v>
    <v t="i">299</v>
    <v t="i">302</v>
    <v t="i">303</v>
    <v t="i">304</v>
    <v t="i">305</v>
    <v t="i">306</v>
    <v t="i">309</v>
    <v t="i">310</v>
    <v t="i">311</v>
    <v t="i">312</v>
    <v t="i">313</v>
    <v t="i">316</v>
    <v t="i">317</v>
    <v t="i">318</v>
    <v t="i">319</v>
    <v t="i">320</v>
    <v t="i">323</v>
    <v t="i">324</v>
    <v t="i">325</v>
    <v t="i">326</v>
    <v t="i">327</v>
    <v t="i">330</v>
    <v t="i">331</v>
    <v t="i">332</v>
    <v t="i">333</v>
    <v t="i">334</v>
    <v t="i">337</v>
    <v t="i">338</v>
    <v t="i">339</v>
    <v t="i">340</v>
    <v t="i">341</v>
    <v t="i">344</v>
    <v t="i">345</v>
    <v t="i">346</v>
    <v t="i">347</v>
    <v t="i">348</v>
    <v t="i">351</v>
    <v t="i">352</v>
    <v t="i">353</v>
    <v t="i">354</v>
    <v t="i">355</v>
    <v t="i">360</v>
    <v t="i">361</v>
    <v t="i">362</v>
  </a>
  <a r="1" c="255">
    <v>25.07</v>
    <v>24.98</v>
    <v>25.14</v>
    <v>25.29</v>
    <v>25.33</v>
    <v>25.61</v>
    <v>25.13</v>
    <v>25.14</v>
    <v>25.8</v>
    <v>25.83</v>
    <v>26.08</v>
    <v>26.27</v>
    <v>26.39</v>
    <v>25.67</v>
    <v>25.74</v>
    <v>25.7</v>
    <v>25.72</v>
    <v>25.52</v>
    <v>25.94</v>
    <v>25.83</v>
    <v>25.58</v>
    <v>25.67</v>
    <v>25.89</v>
    <v>26.03</v>
    <v>25.75</v>
    <v>25.43</v>
    <v>25.69</v>
    <v>25.88</v>
    <v>25.85</v>
    <v>25.82</v>
    <v>25.86</v>
    <v>25.94</v>
    <v>25.93</v>
    <v>25.96</v>
    <v>26.01</v>
    <v>26.2</v>
    <v>26.18</v>
    <v>25.74</v>
    <v>26.23</v>
    <v>26.18</v>
    <v>26.43</v>
    <v>26.16</v>
    <v>26.06</v>
    <v>26.19</v>
    <v>26.45</v>
    <v>26.39</v>
    <v>26.33</v>
    <v>26.41</v>
    <v>26.29</v>
    <v>25.95</v>
    <v>25.24</v>
    <v>25.31</v>
    <v>24.37</v>
    <v>24.75</v>
    <v>24.34</v>
    <v>24.45</v>
    <v>24.7</v>
    <v>24.33</v>
    <v>24.09</v>
    <v>23.73</v>
    <v>23.71</v>
    <v>23.81</v>
    <v>23.94</v>
    <v>24.52</v>
    <v>24.67</v>
    <v>25.04</v>
    <v>25.3</v>
    <v>24.92</v>
    <v>25.08</v>
    <v>25.48</v>
    <v>26</v>
    <v>26.26</v>
    <v>26.32</v>
    <v>26.46</v>
    <v>26.36</v>
    <v>26.1</v>
    <v>26.2</v>
    <v>26.08</v>
    <v>26.08</v>
    <v>26.02</v>
    <v>26.42</v>
    <v>26.42</v>
    <v>26.78</v>
    <v>26.06</v>
    <v>26.14</v>
    <v>25.74</v>
    <v>25.5</v>
    <v>25.68</v>
    <v>25.46</v>
    <v>25.62</v>
    <v>25.7</v>
    <v>25.78</v>
    <v>25.78</v>
    <v>25.8</v>
    <v>25.76</v>
    <v>25.88</v>
    <v>26.1</v>
    <v>26</v>
    <v>26.06</v>
    <v>25.58</v>
    <v>25.56</v>
    <v>25.74</v>
    <v>25.88</v>
    <v>25.7</v>
    <v>25.5</v>
    <v>25.7</v>
    <v>26.34</v>
    <v>26.48</v>
    <v>26.64</v>
    <v>26.62</v>
    <v>26.82</v>
    <v>26.78</v>
    <v>26.6</v>
    <v>24.98</v>
    <v>24.94</v>
    <v>23.88</v>
    <v>23.86</v>
    <v>23.56</v>
    <v>23.16</v>
    <v>23.08</v>
    <v>22.58</v>
    <v>22.54</v>
    <v>22.02</v>
    <v>22.12</v>
    <v>22.36</v>
    <v>22.18</v>
    <v>22.24</v>
    <v>22.56</v>
    <v>22.3</v>
    <v>22.1</v>
    <v>21.54</v>
    <v>21.66</v>
    <v>21.56</v>
    <v>21.9</v>
    <v>22.32</v>
    <v>22.3</v>
    <v>22.06</v>
    <v>22.06</v>
    <v>22.24</v>
    <v>22.26</v>
    <v>22.24</v>
    <v>22.14</v>
    <v>22.4</v>
    <v>22.52</v>
    <v>22.4</v>
    <v>22.54</v>
    <v>22.52</v>
    <v>22.42</v>
    <v>22.04</v>
    <v>21.5</v>
    <v>21.36</v>
    <v>21.36</v>
    <v>21.3</v>
    <v>21.24</v>
    <v>21.6</v>
    <v>21.8</v>
    <v>21.88</v>
    <v>21.82</v>
    <v>21.7</v>
    <v>21.84</v>
    <v>21.7</v>
    <v>21.52</v>
    <v>21.66</v>
    <v>21.72</v>
    <v>21.76</v>
    <v>21.74</v>
    <v>21.94</v>
    <v>22.22</v>
    <v>22.4</v>
    <v>22.34</v>
    <v>22.52</v>
    <v>22.52</v>
    <v>21.6</v>
    <v>21.58</v>
    <v>21.76</v>
    <v>21.76</v>
    <v>21.9</v>
    <v>22.72</v>
    <v>23.02</v>
    <v>22.86</v>
    <v>22.72</v>
    <v>22.78</v>
    <v>22.52</v>
    <v>22.76</v>
    <v>22.58</v>
    <v>22.36</v>
    <v>22.32</v>
    <v>21.84</v>
    <v>21.38</v>
    <v>21.38</v>
    <v>21.3</v>
    <v>21.24</v>
    <v>20.9</v>
    <v>20.72</v>
    <v>20.8</v>
    <v>20.9</v>
    <v>21.08</v>
    <v>21.24</v>
    <v>21.44</v>
    <v>21.2</v>
    <v>21.26</v>
    <v>21.18</v>
    <v>21.5</v>
    <v>21.5</v>
    <v>21.42</v>
    <v>21.16</v>
    <v>20.46</v>
    <v>19.93</v>
    <v>20.04</v>
    <v>19.88</v>
    <v>20.02</v>
    <v>19.84</v>
    <v>20.36</v>
    <v>20.54</v>
    <v>20.68</v>
    <v>21.12</v>
    <v>21.34</v>
    <v>20.96</v>
    <v>20.64</v>
    <v>21.2</v>
    <v>21.62</v>
    <v>21.5</v>
    <v>21.82</v>
    <v>22.14</v>
    <v>22.24</v>
    <v>21.86</v>
    <v>22.26</v>
    <v>22.28</v>
    <v>21.96</v>
    <v>22.06</v>
    <v>22.26</v>
    <v>22.36</v>
    <v>22.14</v>
    <v>22.16</v>
    <v>22.16</v>
    <v>22.3</v>
    <v>22.54</v>
    <v>22.36</v>
    <v>22.32</v>
    <v>22.02</v>
    <v>22</v>
    <v>22.1</v>
    <v>22.12</v>
    <v>22.02</v>
    <v>22.2</v>
    <v>22.48</v>
    <v>22.56</v>
    <v>22.52</v>
    <v>22.54</v>
    <v>22.6</v>
    <v>22.54</v>
    <v>22.56</v>
    <v>22.6</v>
    <v>22.58</v>
    <v>22.5</v>
  </a>
  <a r="1" c="257">
    <v t="i">2</v>
    <v t="i">3</v>
    <v t="i">4</v>
    <v t="i">5</v>
    <v t="i">6</v>
    <v t="i">9</v>
    <v t="i">10</v>
    <v t="i">11</v>
    <v t="i">12</v>
    <v t="i">13</v>
    <v t="i">16</v>
    <v t="i">17</v>
    <v t="i">18</v>
    <v t="i">19</v>
    <v t="i">20</v>
    <v t="i">23</v>
    <v t="i">24</v>
    <v t="i">25</v>
    <v t="i">26</v>
    <v t="i">27</v>
    <v t="i">30</v>
    <v t="i">31</v>
    <v t="i">32</v>
    <v t="i">33</v>
    <v t="i">34</v>
    <v t="i">37</v>
    <v t="i">38</v>
    <v t="i">39</v>
    <v t="i">40</v>
    <v t="i">41</v>
    <v t="i">44</v>
    <v t="i">45</v>
    <v t="i">46</v>
    <v t="i">47</v>
    <v t="i">48</v>
    <v t="i">51</v>
    <v t="i">52</v>
    <v t="i">53</v>
    <v t="i">54</v>
    <v t="i">55</v>
    <v t="i">58</v>
    <v t="i">59</v>
    <v t="i">60</v>
    <v t="i">61</v>
    <v t="i">62</v>
    <v t="i">65</v>
    <v t="i">66</v>
    <v t="i">67</v>
    <v t="i">68</v>
    <v t="i">69</v>
    <v t="i">72</v>
    <v t="i">73</v>
    <v t="i">74</v>
    <v t="i">75</v>
    <v t="i">76</v>
    <v t="i">79</v>
    <v t="i">80</v>
    <v t="i">81</v>
    <v t="i">82</v>
    <v t="i">83</v>
    <v t="i">86</v>
    <v t="i">87</v>
    <v t="i">88</v>
    <v t="i">89</v>
    <v t="i">90</v>
    <v t="i">93</v>
    <v t="i">94</v>
    <v t="i">95</v>
    <v t="i">96</v>
    <v t="i">97</v>
    <v t="i">100</v>
    <v t="i">101</v>
    <v t="i">102</v>
    <v t="i">103</v>
    <v t="i">108</v>
    <v t="i">109</v>
    <v t="i">110</v>
    <v t="i">111</v>
    <v t="i">114</v>
    <v t="i">115</v>
    <v t="i">116</v>
    <v t="i">117</v>
    <v t="i">118</v>
    <v t="i">121</v>
    <v t="i">122</v>
    <v t="i">123</v>
    <v t="i">124</v>
    <v t="i">125</v>
    <v t="i">128</v>
    <v t="i">129</v>
    <v t="i">130</v>
    <v t="i">131</v>
    <v t="i">132</v>
    <v t="i">135</v>
    <v t="i">136</v>
    <v t="i">137</v>
    <v t="i">138</v>
    <v t="i">139</v>
    <v t="i">142</v>
    <v t="i">143</v>
    <v t="i">144</v>
    <v t="i">145</v>
    <v t="i">146</v>
    <v t="i">149</v>
    <v t="i">150</v>
    <v t="i">151</v>
    <v t="i">152</v>
    <v t="i">153</v>
    <v t="i">156</v>
    <v t="i">157</v>
    <v t="i">158</v>
    <v t="i">159</v>
    <v t="i">160</v>
    <v t="i">163</v>
    <v t="i">164</v>
    <v t="i">165</v>
    <v t="i">166</v>
    <v t="i">167</v>
    <v t="i">170</v>
    <v t="i">171</v>
    <v t="i">172</v>
    <v t="i">173</v>
    <v t="i">174</v>
    <v t="i">177</v>
    <v t="i">178</v>
    <v t="i">179</v>
    <v t="i">180</v>
    <v t="i">181</v>
    <v t="i">184</v>
    <v t="i">185</v>
    <v t="i">186</v>
    <v t="i">187</v>
    <v t="i">188</v>
    <v t="i">191</v>
    <v t="i">192</v>
    <v t="i">193</v>
    <v t="i">194</v>
    <v t="i">195</v>
    <v t="i">198</v>
    <v t="i">199</v>
    <v t="i">200</v>
    <v t="i">201</v>
    <v t="i">202</v>
    <v t="i">205</v>
    <v t="i">206</v>
    <v t="i">207</v>
    <v t="i">208</v>
    <v t="i">209</v>
    <v t="i">212</v>
    <v t="i">213</v>
    <v t="i">214</v>
    <v t="i">215</v>
    <v t="i">216</v>
    <v t="i">219</v>
    <v t="i">220</v>
    <v t="i">221</v>
    <v t="i">222</v>
    <v t="i">223</v>
    <v t="i">226</v>
    <v t="i">227</v>
    <v t="i">228</v>
    <v t="i">229</v>
    <v t="i">230</v>
    <v t="i">233</v>
    <v t="i">234</v>
    <v t="i">235</v>
    <v t="i">236</v>
    <v t="i">237</v>
    <v t="i">240</v>
    <v t="i">241</v>
    <v t="i">242</v>
    <v t="i">243</v>
    <v t="i">244</v>
    <v t="i">247</v>
    <v t="i">248</v>
    <v t="i">249</v>
    <v t="i">250</v>
    <v t="i">251</v>
    <v t="i">254</v>
    <v t="i">255</v>
    <v t="i">256</v>
    <v t="i">257</v>
    <v t="i">258</v>
    <v t="i">261</v>
    <v t="i">262</v>
    <v t="i">263</v>
    <v t="i">264</v>
    <v t="i">265</v>
    <v t="i">268</v>
    <v t="i">269</v>
    <v t="i">270</v>
    <v t="i">271</v>
    <v t="i">272</v>
    <v t="i">275</v>
    <v t="i">276</v>
    <v t="i">277</v>
    <v t="i">278</v>
    <v t="i">279</v>
    <v t="i">282</v>
    <v t="i">283</v>
    <v t="i">284</v>
    <v t="i">285</v>
    <v t="i">286</v>
    <v t="i">289</v>
    <v t="i">290</v>
    <v t="i">291</v>
    <v t="i">292</v>
    <v t="i">293</v>
    <v t="i">296</v>
    <v t="i">297</v>
    <v t="i">298</v>
    <v t="i">299</v>
    <v t="i">300</v>
    <v t="i">303</v>
    <v t="i">304</v>
    <v t="i">305</v>
    <v t="i">306</v>
    <v t="i">307</v>
    <v t="i">310</v>
    <v t="i">311</v>
    <v t="i">312</v>
    <v t="i">313</v>
    <v t="i">314</v>
    <v t="i">317</v>
    <v t="i">318</v>
    <v t="i">319</v>
    <v t="i">320</v>
    <v t="i">321</v>
    <v t="i">324</v>
    <v t="i">325</v>
    <v t="i">326</v>
    <v t="i">327</v>
    <v t="i">328</v>
    <v t="i">331</v>
    <v t="i">332</v>
    <v t="i">333</v>
    <v t="i">334</v>
    <v t="i">335</v>
    <v t="i">338</v>
    <v t="i">339</v>
    <v t="i">340</v>
    <v t="i">341</v>
    <v t="i">342</v>
    <v t="i">345</v>
    <v t="i">346</v>
    <v t="i">347</v>
    <v t="i">348</v>
    <v t="i">349</v>
    <v t="i">352</v>
    <v t="i">353</v>
    <v t="i">354</v>
    <v t="i">355</v>
    <v t="i">356</v>
    <v t="i">360</v>
    <v t="i">361</v>
    <v t="i">362</v>
    <v t="i">363</v>
  </a>
  <a r="1" c="257">
    <v>27.22</v>
    <v>27.97</v>
    <v>27.92</v>
    <v>27.94</v>
    <v>27.94</v>
    <v>28.06</v>
    <v>28.26</v>
    <v>28.23</v>
    <v>28.41</v>
    <v>29.07</v>
    <v>28.58</v>
    <v>28.79</v>
    <v>28.92</v>
    <v>28.55</v>
    <v>28.63</v>
    <v>28.56</v>
    <v>29.06</v>
    <v>28.93</v>
    <v>29.43</v>
    <v>28.78</v>
    <v>28.66</v>
    <v>28.5</v>
    <v>28.44</v>
    <v>28.23</v>
    <v>28.04</v>
    <v>28.54</v>
    <v>28.77</v>
    <v>30.7</v>
    <v>31.1</v>
    <v>29.94</v>
    <v>29.36</v>
    <v>29.4</v>
    <v>30.04</v>
    <v>29.74</v>
    <v>29.59</v>
    <v>28.96</v>
    <v>28.32</v>
    <v>28.32</v>
    <v>27.54</v>
    <v>28.29</v>
    <v>27.97</v>
    <v>27.72</v>
    <v>28.01</v>
    <v>27.19</v>
    <v>24.72</v>
    <v>25.47</v>
    <v>25.9</v>
    <v>26.89</v>
    <v>26.42</v>
    <v>28.45</v>
    <v>26.11</v>
    <v>26.71</v>
    <v>26.78</v>
    <v>26.85</v>
    <v>26.71</v>
    <v>27.78</v>
    <v>27.74</v>
    <v>27.53</v>
    <v>26.81</v>
    <v>26.93</v>
    <v>26.76</v>
    <v>26.98</v>
    <v>26.91</v>
    <v>26.67</v>
    <v>27.03</v>
    <v>26.78</v>
    <v>26.53</v>
    <v>26.28</v>
    <v>25.93</v>
    <v>26.44</v>
    <v>26.77</v>
    <v>26.9</v>
    <v>27.14</v>
    <v>24.87</v>
    <v>25.05</v>
    <v>25.14</v>
    <v>26.44</v>
    <v>25.7</v>
    <v>25.28</v>
    <v>24.98</v>
    <v>24.84</v>
    <v>25.33</v>
    <v>25.44</v>
    <v>25.31</v>
    <v>25.83</v>
    <v>26.06</v>
    <v>25.86</v>
    <v>25.62</v>
    <v>25.06</v>
    <v>25.36</v>
    <v>25.95</v>
    <v>25.81</v>
    <v>26.19</v>
    <v>26.9</v>
    <v>26.81</v>
    <v>26.46</v>
    <v>25.85</v>
    <v>26.33</v>
    <v>27.65</v>
    <v>26.38</v>
    <v>26.99</v>
    <v>27.31</v>
    <v>27.3</v>
    <v>27.44</v>
    <v>28.2</v>
    <v>28.02</v>
    <v>28.64</v>
    <v>28.84</v>
    <v>28.76</v>
    <v>28.5</v>
    <v>28.5</v>
    <v>28.5</v>
    <v>27.94</v>
    <v>26.48</v>
    <v>24.25</v>
    <v>24.09</v>
    <v>22.66</v>
    <v>22.53</v>
    <v>22.81</v>
    <v>23.56</v>
    <v>23.1</v>
    <v>22.04</v>
    <v>22.28</v>
    <v>22.57</v>
    <v>23.31</v>
    <v>22.92</v>
    <v>22.28</v>
    <v>22.32</v>
    <v>22.92</v>
    <v>21.74</v>
    <v>22.36</v>
    <v>22.7</v>
    <v>22.78</v>
    <v>22.4</v>
    <v>22.46</v>
    <v>22.44</v>
    <v>21.78</v>
    <v>22.19</v>
    <v>22.83</v>
    <v>23.27</v>
    <v>23.17</v>
    <v>22.61</v>
    <v>22.73</v>
    <v>22.73</v>
    <v>22.87</v>
    <v>23.21</v>
    <v>23.16</v>
    <v>23.79</v>
    <v>23.76</v>
    <v>23.59</v>
    <v>23.48</v>
    <v>23.3</v>
    <v>23.23</v>
    <v>23.44</v>
    <v>23.24</v>
    <v>23.71</v>
    <v>23.99</v>
    <v>24.2</v>
    <v>23.76</v>
    <v>24.55</v>
    <v>24.04</v>
    <v>23.96</v>
    <v>23.8</v>
    <v>23.6</v>
    <v>23.83</v>
    <v>23.6</v>
    <v>23.88</v>
    <v>23.71</v>
    <v>23.93</v>
    <v>23.57</v>
    <v>23.57</v>
    <v>23.59</v>
    <v>24.04</v>
    <v>23.76</v>
    <v>23.45</v>
    <v>23.33</v>
    <v>23.18</v>
    <v>24.9</v>
    <v>25.1</v>
    <v>24.78</v>
    <v>24.51</v>
    <v>24.17</v>
    <v>23.36</v>
    <v>23.06</v>
    <v>23.13</v>
    <v>23.3</v>
    <v>23.39</v>
    <v>22.59</v>
    <v>22.24</v>
    <v>22.1</v>
    <v>22.17</v>
    <v>21.81</v>
    <v>21.39</v>
    <v>21.69</v>
    <v>21.97</v>
    <v>21.64</v>
    <v>21.7</v>
    <v>21.55</v>
    <v>21.42</v>
    <v>21.25</v>
    <v>20.89</v>
    <v>21.32</v>
    <v>21.23</v>
    <v>21.82</v>
    <v>21.6</v>
    <v>21.94</v>
    <v>22.13</v>
    <v>21.9</v>
    <v>21.98</v>
    <v>22.14</v>
    <v>22.36</v>
    <v>22.6</v>
    <v>22.63</v>
    <v>23</v>
    <v>23.1</v>
    <v>22.87</v>
    <v>22.81</v>
    <v>23.46</v>
    <v>23.58</v>
    <v>23.4</v>
    <v>23.05</v>
    <v>23.83</v>
    <v>24.06</v>
    <v>24.17</v>
    <v>23.75</v>
    <v>23.7</v>
    <v>23.62</v>
    <v>23.53</v>
    <v>23.58</v>
    <v>24.03</v>
    <v>24.08</v>
    <v>24.19</v>
    <v>24.34</v>
    <v>24.25</v>
    <v>24.3</v>
    <v>24.2</v>
    <v>24.03</v>
    <v>23.97</v>
    <v>24.24</v>
    <v>23.99</v>
    <v>23.95</v>
    <v>24.15</v>
    <v>24.07</v>
    <v>23.89</v>
    <v>24.22</v>
    <v>24.34</v>
    <v>24.25</v>
    <v>24.17</v>
    <v>24.27</v>
    <v>24.23</v>
    <v>24.76</v>
    <v>24.65</v>
    <v>24.62</v>
    <v>24.84</v>
    <v>24.74</v>
    <v>24.89</v>
    <v>24.6</v>
  </a>
  <a r="1" c="257">
    <v t="i">3</v>
    <v t="i">4</v>
    <v t="i">5</v>
    <v t="i">6</v>
    <v t="i">7</v>
    <v t="i">10</v>
    <v t="i">11</v>
    <v t="i">12</v>
    <v t="i">13</v>
    <v t="i">14</v>
    <v t="i">17</v>
    <v t="i">18</v>
    <v t="i">19</v>
    <v t="i">20</v>
    <v t="i">21</v>
    <v t="i">24</v>
    <v t="i">25</v>
    <v t="i">26</v>
    <v t="i">27</v>
    <v t="i">28</v>
    <v t="i">31</v>
    <v t="i">32</v>
    <v t="i">33</v>
    <v t="i">34</v>
    <v t="i">35</v>
    <v t="i">38</v>
    <v t="i">39</v>
    <v t="i">40</v>
    <v t="i">41</v>
    <v t="i">42</v>
    <v t="i">45</v>
    <v t="i">46</v>
    <v t="i">47</v>
    <v t="i">48</v>
    <v t="i">49</v>
    <v t="i">52</v>
    <v t="i">53</v>
    <v t="i">54</v>
    <v t="i">55</v>
    <v t="i">56</v>
    <v t="i">59</v>
    <v t="i">60</v>
    <v t="i">61</v>
    <v t="i">62</v>
    <v t="i">63</v>
    <v t="i">66</v>
    <v t="i">67</v>
    <v t="i">68</v>
    <v t="i">69</v>
    <v t="i">70</v>
    <v t="i">73</v>
    <v t="i">74</v>
    <v t="i">75</v>
    <v t="i">76</v>
    <v t="i">77</v>
    <v t="i">80</v>
    <v t="i">81</v>
    <v t="i">82</v>
    <v t="i">83</v>
    <v t="i">84</v>
    <v t="i">87</v>
    <v t="i">88</v>
    <v t="i">89</v>
    <v t="i">90</v>
    <v t="i">95</v>
    <v t="i">96</v>
    <v t="i">97</v>
    <v t="i">98</v>
    <v t="i">101</v>
    <v t="i">102</v>
    <v t="i">103</v>
    <v t="i">104</v>
    <v t="i">105</v>
    <v t="i">108</v>
    <v t="i">109</v>
    <v t="i">110</v>
    <v t="i">111</v>
    <v t="i">112</v>
    <v t="i">115</v>
    <v t="i">116</v>
    <v t="i">117</v>
    <v t="i">118</v>
    <v t="i">119</v>
    <v t="i">122</v>
    <v t="i">123</v>
    <v t="i">124</v>
    <v t="i">125</v>
    <v t="i">126</v>
    <v t="i">129</v>
    <v t="i">130</v>
    <v t="i">131</v>
    <v t="i">132</v>
    <v t="i">133</v>
    <v t="i">136</v>
    <v t="i">137</v>
    <v t="i">138</v>
    <v t="i">140</v>
    <v t="i">143</v>
    <v t="i">144</v>
    <v t="i">145</v>
    <v t="i">146</v>
    <v t="i">147</v>
    <v t="i">150</v>
    <v t="i">151</v>
    <v t="i">152</v>
    <v t="i">153</v>
    <v t="i">154</v>
    <v t="i">157</v>
    <v t="i">158</v>
    <v t="i">159</v>
    <v t="i">160</v>
    <v t="i">161</v>
    <v t="i">164</v>
    <v t="i">165</v>
    <v t="i">166</v>
    <v t="i">167</v>
    <v t="i">168</v>
    <v t="i">171</v>
    <v t="i">172</v>
    <v t="i">173</v>
    <v t="i">174</v>
    <v t="i">175</v>
    <v t="i">178</v>
    <v t="i">179</v>
    <v t="i">180</v>
    <v t="i">181</v>
    <v t="i">182</v>
    <v t="i">185</v>
    <v t="i">186</v>
    <v t="i">187</v>
    <v t="i">188</v>
    <v t="i">189</v>
    <v t="i">192</v>
    <v t="i">193</v>
    <v t="i">194</v>
    <v t="i">195</v>
    <v t="i">196</v>
    <v t="i">199</v>
    <v t="i">200</v>
    <v t="i">201</v>
    <v t="i">202</v>
    <v t="i">203</v>
    <v t="i">206</v>
    <v t="i">207</v>
    <v t="i">208</v>
    <v t="i">209</v>
    <v t="i">210</v>
    <v t="i">213</v>
    <v t="i">214</v>
    <v t="i">215</v>
    <v t="i">216</v>
    <v t="i">217</v>
    <v t="i">220</v>
    <v t="i">221</v>
    <v t="i">222</v>
    <v t="i">223</v>
    <v t="i">224</v>
    <v t="i">227</v>
    <v t="i">228</v>
    <v t="i">229</v>
    <v t="i">230</v>
    <v t="i">231</v>
    <v t="i">234</v>
    <v t="i">235</v>
    <v t="i">236</v>
    <v t="i">237</v>
    <v t="i">238</v>
    <v t="i">241</v>
    <v t="i">242</v>
    <v t="i">243</v>
    <v t="i">244</v>
    <v t="i">245</v>
    <v t="i">248</v>
    <v t="i">249</v>
    <v t="i">250</v>
    <v t="i">251</v>
    <v t="i">252</v>
    <v t="i">255</v>
    <v t="i">256</v>
    <v t="i">257</v>
    <v t="i">258</v>
    <v t="i">259</v>
    <v t="i">262</v>
    <v t="i">263</v>
    <v t="i">264</v>
    <v t="i">265</v>
    <v t="i">266</v>
    <v t="i">269</v>
    <v t="i">270</v>
    <v t="i">271</v>
    <v t="i">272</v>
    <v t="i">273</v>
    <v t="i">276</v>
    <v t="i">277</v>
    <v t="i">278</v>
    <v t="i">279</v>
    <v t="i">280</v>
    <v t="i">283</v>
    <v t="i">284</v>
    <v t="i">285</v>
    <v t="i">286</v>
    <v t="i">287</v>
    <v t="i">290</v>
    <v t="i">291</v>
    <v t="i">292</v>
    <v t="i">293</v>
    <v t="i">294</v>
    <v t="i">297</v>
    <v t="i">298</v>
    <v t="i">299</v>
    <v t="i">300</v>
    <v t="i">301</v>
    <v t="i">304</v>
    <v t="i">305</v>
    <v t="i">306</v>
    <v t="i">307</v>
    <v t="i">308</v>
    <v t="i">311</v>
    <v t="i">312</v>
    <v t="i">313</v>
    <v t="i">314</v>
    <v t="i">315</v>
    <v t="i">318</v>
    <v t="i">319</v>
    <v t="i">320</v>
    <v t="i">321</v>
    <v t="i">322</v>
    <v t="i">325</v>
    <v t="i">326</v>
    <v t="i">327</v>
    <v t="i">328</v>
    <v t="i">329</v>
    <v t="i">332</v>
    <v t="i">333</v>
    <v t="i">334</v>
    <v t="i">335</v>
    <v t="i">336</v>
    <v t="i">339</v>
    <v t="i">340</v>
    <v t="i">341</v>
    <v t="i">342</v>
    <v t="i">343</v>
    <v t="i">346</v>
    <v t="i">347</v>
    <v t="i">348</v>
    <v t="i">349</v>
    <v t="i">350</v>
    <v t="i">353</v>
    <v t="i">354</v>
    <v t="i">355</v>
    <v t="i">356</v>
    <v t="i">357</v>
    <v t="i">360</v>
    <v t="i">361</v>
    <v t="i">362</v>
    <v t="i">363</v>
    <v t="i">364</v>
  </a>
  <a r="1" c="257">
    <v>38.36</v>
    <v>38.9</v>
    <v>40.76</v>
    <v>40.659999999999997</v>
    <v>40.5</v>
    <v>40.24</v>
    <v>40.619999999999997</v>
    <v>40.28</v>
    <v>40.24</v>
    <v>40.1</v>
    <v>39.86</v>
    <v>39.9</v>
    <v>39.9</v>
    <v>39.4</v>
    <v>39.1</v>
    <v>37.979999999999997</v>
    <v>38.4</v>
    <v>37.82</v>
    <v>37.700000000000003</v>
    <v>37.340000000000003</v>
    <v>38.020000000000003</v>
    <v>37.92</v>
    <v>38.18</v>
    <v>38.22</v>
    <v>38.5</v>
    <v>38.979999999999997</v>
    <v>39.159999999999997</v>
    <v>39.5</v>
    <v>39.700000000000003</v>
    <v>38.299999999999997</v>
    <v>38.24</v>
    <v>38.5</v>
    <v>38.479999999999997</v>
    <v>38.6</v>
    <v>38.24</v>
    <v>38.200000000000003</v>
    <v>38.700000000000003</v>
    <v>38.78</v>
    <v>38.5</v>
    <v>37.96</v>
    <v>38.56</v>
    <v>38.159999999999997</v>
    <v>38.08</v>
    <v>38.840000000000003</v>
    <v>39.78</v>
    <v>40.74</v>
    <v>40.799999999999997</v>
    <v>41.5</v>
    <v>40.880000000000003</v>
    <v>41.36</v>
    <v>40.799999999999997</v>
    <v>40.6</v>
    <v>40.36</v>
    <v>40.299999999999997</v>
    <v>40.119999999999997</v>
    <v>40.299999999999997</v>
    <v>40.06</v>
    <v>40.380000000000003</v>
    <v>40.18</v>
    <v>40.479999999999997</v>
    <v>40.54</v>
    <v>40.9</v>
    <v>40.4</v>
    <v>41.13</v>
    <v>41.34</v>
    <v>41.85</v>
    <v>41.75</v>
    <v>40.200000000000003</v>
    <v>40.01</v>
    <v>39.96</v>
    <v>39.799999999999997</v>
    <v>39.36</v>
    <v>39.450000000000003</v>
    <v>39.65</v>
    <v>39.46</v>
    <v>38.93</v>
    <v>39.020000000000003</v>
    <v>38.47</v>
    <v>38.85</v>
    <v>39</v>
    <v>39.25</v>
    <v>39.42</v>
    <v>39.049999999999997</v>
    <v>39.25</v>
    <v>39.21</v>
    <v>39.72</v>
    <v>39.92</v>
    <v>37.479999999999997</v>
    <v>37.81</v>
    <v>37.090000000000003</v>
    <v>38.520000000000003</v>
    <v>38.39</v>
    <v>38.81</v>
    <v>39.06</v>
    <v>39.17</v>
    <v>38.880000000000003</v>
    <v>39.03</v>
    <v>39</v>
    <v>38.549999999999997</v>
    <v>38.659999999999997</v>
    <v>38.979999999999997</v>
    <v>39.46</v>
    <v>39.549999999999997</v>
    <v>40.270000000000003</v>
    <v>40.74</v>
    <v>41.02</v>
    <v>41.47</v>
    <v>41.38</v>
    <v>41.3</v>
    <v>41.2</v>
    <v>41.69</v>
    <v>42.12</v>
    <v>42.22</v>
    <v>41.38</v>
    <v>39.46</v>
    <v>39.15</v>
    <v>38.64</v>
    <v>38.29</v>
    <v>38.049999999999997</v>
    <v>37.86</v>
    <v>38.17</v>
    <v>38.479999999999997</v>
    <v>38.119999999999997</v>
    <v>37.5</v>
    <v>37.49</v>
    <v>37.44</v>
    <v>37.270000000000003</v>
    <v>37.33</v>
    <v>36.770000000000003</v>
    <v>36.200000000000003</v>
    <v>36</v>
    <v>36.14</v>
    <v>36.6</v>
    <v>36.32</v>
    <v>36.31</v>
    <v>35.94</v>
    <v>36.049999999999997</v>
    <v>34.5</v>
    <v>33.61</v>
    <v>33.840000000000003</v>
    <v>33.49</v>
    <v>33.39</v>
    <v>34.229999999999997</v>
    <v>34.22</v>
    <v>33.869999999999997</v>
    <v>34</v>
    <v>33.82</v>
    <v>33.57</v>
    <v>33.61</v>
    <v>33.159999999999997</v>
    <v>33.33</v>
    <v>33.6</v>
    <v>33.69</v>
    <v>33.78</v>
    <v>33.99</v>
    <v>33.450000000000003</v>
    <v>33.590000000000003</v>
    <v>33.4</v>
    <v>33</v>
    <v>33.19</v>
    <v>32.64</v>
    <v>32.25</v>
    <v>32.64</v>
    <v>32.71</v>
    <v>32.86</v>
    <v>33</v>
    <v>33.01</v>
    <v>32.799999999999997</v>
    <v>32.81</v>
    <v>33.270000000000003</v>
    <v>33.200000000000003</v>
    <v>32.97</v>
    <v>33</v>
    <v>32.950000000000003</v>
    <v>32.880000000000003</v>
    <v>32.07</v>
    <v>29.52</v>
    <v>29.66</v>
    <v>29.98</v>
    <v>30.1</v>
    <v>29.95</v>
    <v>29.86</v>
    <v>29.54</v>
    <v>29.19</v>
    <v>29.51</v>
    <v>29.86</v>
    <v>29.94</v>
    <v>29.72</v>
    <v>29.8</v>
    <v>30</v>
    <v>29.89</v>
    <v>29.92</v>
    <v>30.3</v>
    <v>29.86</v>
    <v>29.54</v>
    <v>29.52</v>
    <v>29.74</v>
    <v>29.61</v>
    <v>29.29</v>
    <v>28.85</v>
    <v>29.36</v>
    <v>29.06</v>
    <v>28.78</v>
    <v>28.97</v>
    <v>29.09</v>
    <v>28.85</v>
    <v>28.35</v>
    <v>28.13</v>
    <v>28.18</v>
    <v>28.15</v>
    <v>27.92</v>
    <v>27.69</v>
    <v>27.91</v>
    <v>27.79</v>
    <v>27.56</v>
    <v>27.8</v>
    <v>28.57</v>
    <v>28.37</v>
    <v>28.2</v>
    <v>28.7</v>
    <v>28.08</v>
    <v>27.95</v>
    <v>28.01</v>
    <v>27.77</v>
    <v>27.53</v>
    <v>26.61</v>
    <v>26.05</v>
    <v>26.4</v>
    <v>26.57</v>
    <v>26.22</v>
    <v>26.05</v>
    <v>25</v>
    <v>24.82</v>
    <v>24.28</v>
    <v>24.94</v>
    <v>25.05</v>
    <v>25.39</v>
    <v>25.93</v>
    <v>25.62</v>
    <v>25.3</v>
    <v>25.23</v>
    <v>25.47</v>
    <v>24.64</v>
    <v>24.56</v>
    <v>24.52</v>
    <v>24.7</v>
    <v>25.87</v>
    <v>25.5</v>
    <v>25.65</v>
    <v>26.19</v>
    <v>26.7</v>
    <v>26.62</v>
    <v>26.71</v>
    <v>26.55</v>
    <v>26.83</v>
    <v>26.62</v>
    <v>26.26</v>
  </a>
  <a r="1" c="257">
    <v t="i">1</v>
    <v t="i">2</v>
    <v t="i">5</v>
    <v t="i">6</v>
    <v t="i">7</v>
    <v t="i">8</v>
    <v t="i">9</v>
    <v t="i">12</v>
    <v t="i">13</v>
    <v t="i">14</v>
    <v t="i">15</v>
    <v t="i">16</v>
    <v t="i">19</v>
    <v t="i">20</v>
    <v t="i">21</v>
    <v t="i">22</v>
    <v t="i">23</v>
    <v t="i">26</v>
    <v t="i">27</v>
    <v t="i">28</v>
    <v t="i">29</v>
    <v t="i">30</v>
    <v t="i">33</v>
    <v t="i">34</v>
    <v t="i">35</v>
    <v t="i">36</v>
    <v t="i">37</v>
    <v t="i">40</v>
    <v t="i">41</v>
    <v t="i">42</v>
    <v t="i">43</v>
    <v t="i">44</v>
    <v t="i">47</v>
    <v t="i">48</v>
    <v t="i">49</v>
    <v t="i">50</v>
    <v t="i">51</v>
    <v t="i">54</v>
    <v t="i">55</v>
    <v t="i">56</v>
    <v t="i">57</v>
    <v t="i">58</v>
    <v t="i">61</v>
    <v t="i">62</v>
    <v t="i">63</v>
    <v t="i">64</v>
    <v t="i">65</v>
    <v t="i">68</v>
    <v t="i">69</v>
    <v t="i">70</v>
    <v t="i">71</v>
    <v t="i">72</v>
    <v t="i">75</v>
    <v t="i">76</v>
    <v t="i">77</v>
    <v t="i">78</v>
    <v t="i">79</v>
    <v t="i">82</v>
    <v t="i">83</v>
    <v t="i">84</v>
    <v t="i">85</v>
    <v t="i">86</v>
    <v t="i">89</v>
    <v t="i">90</v>
    <v t="i">91</v>
    <v t="i">92</v>
    <v t="i">93</v>
    <v t="i">96</v>
    <v t="i">97</v>
    <v t="i">98</v>
    <v t="i">99</v>
    <v t="i">104</v>
    <v t="i">105</v>
    <v t="i">106</v>
    <v t="i">107</v>
    <v t="i">110</v>
    <v t="i">111</v>
    <v t="i">112</v>
    <v t="i">113</v>
    <v t="i">114</v>
    <v t="i">117</v>
    <v t="i">118</v>
    <v t="i">119</v>
    <v t="i">120</v>
    <v t="i">124</v>
    <v t="i">125</v>
    <v t="i">126</v>
    <v t="i">127</v>
    <v t="i">128</v>
    <v t="i">131</v>
    <v t="i">132</v>
    <v t="i">133</v>
    <v t="i">134</v>
    <v t="i">135</v>
    <v t="i">138</v>
    <v t="i">139</v>
    <v t="i">140</v>
    <v t="i">141</v>
    <v t="i">142</v>
    <v t="i">145</v>
    <v t="i">146</v>
    <v t="i">147</v>
    <v t="i">148</v>
    <v t="i">149</v>
    <v t="i">152</v>
    <v t="i">153</v>
    <v t="i">154</v>
    <v t="i">155</v>
    <v t="i">156</v>
    <v t="i">159</v>
    <v t="i">160</v>
    <v t="i">161</v>
    <v t="i">162</v>
    <v t="i">163</v>
    <v t="i">166</v>
    <v t="i">167</v>
    <v t="i">168</v>
    <v t="i">169</v>
    <v t="i">170</v>
    <v t="i">173</v>
    <v t="i">174</v>
    <v t="i">175</v>
    <v t="i">176</v>
    <v t="i">177</v>
    <v t="i">180</v>
    <v t="i">181</v>
    <v t="i">182</v>
    <v t="i">183</v>
    <v t="i">184</v>
    <v t="i">187</v>
    <v t="i">188</v>
    <v t="i">189</v>
    <v t="i">190</v>
    <v t="i">191</v>
    <v t="i">194</v>
    <v t="i">195</v>
    <v t="i">196</v>
    <v t="i">197</v>
    <v t="i">198</v>
    <v t="i">201</v>
    <v t="i">202</v>
    <v t="i">203</v>
    <v t="i">204</v>
    <v t="i">205</v>
    <v t="i">208</v>
    <v t="i">209</v>
    <v t="i">210</v>
    <v t="i">211</v>
    <v t="i">212</v>
    <v t="i">215</v>
    <v t="i">216</v>
    <v t="i">217</v>
    <v t="i">218</v>
    <v t="i">219</v>
    <v t="i">222</v>
    <v t="i">223</v>
    <v t="i">224</v>
    <v t="i">225</v>
    <v t="i">226</v>
    <v t="i">229</v>
    <v t="i">230</v>
    <v t="i">231</v>
    <v t="i">232</v>
    <v t="i">233</v>
    <v t="i">236</v>
    <v t="i">237</v>
    <v t="i">238</v>
    <v t="i">239</v>
    <v t="i">240</v>
    <v t="i">243</v>
    <v t="i">244</v>
    <v t="i">245</v>
    <v t="i">246</v>
    <v t="i">247</v>
    <v t="i">250</v>
    <v t="i">251</v>
    <v t="i">252</v>
    <v t="i">253</v>
    <v t="i">254</v>
    <v t="i">257</v>
    <v t="i">258</v>
    <v t="i">259</v>
    <v t="i">260</v>
    <v t="i">261</v>
    <v t="i">264</v>
    <v t="i">265</v>
    <v t="i">266</v>
    <v t="i">267</v>
    <v t="i">268</v>
    <v t="i">271</v>
    <v t="i">272</v>
    <v t="i">273</v>
    <v t="i">274</v>
    <v t="i">275</v>
    <v t="i">278</v>
    <v t="i">279</v>
    <v t="i">280</v>
    <v t="i">281</v>
    <v t="i">282</v>
    <v t="i">285</v>
    <v t="i">286</v>
    <v t="i">287</v>
    <v t="i">288</v>
    <v t="i">289</v>
    <v t="i">292</v>
    <v t="i">293</v>
    <v t="i">294</v>
    <v t="i">295</v>
    <v t="i">296</v>
    <v t="i">299</v>
    <v t="i">300</v>
    <v t="i">301</v>
    <v t="i">302</v>
    <v t="i">303</v>
    <v t="i">306</v>
    <v t="i">307</v>
    <v t="i">308</v>
    <v t="i">309</v>
    <v t="i">310</v>
    <v t="i">313</v>
    <v t="i">314</v>
    <v t="i">315</v>
    <v t="i">316</v>
    <v t="i">317</v>
    <v t="i">320</v>
    <v t="i">321</v>
    <v t="i">322</v>
    <v t="i">323</v>
    <v t="i">324</v>
    <v t="i">327</v>
    <v t="i">328</v>
    <v t="i">329</v>
    <v t="i">330</v>
    <v t="i">331</v>
    <v t="i">334</v>
    <v t="i">335</v>
    <v t="i">336</v>
    <v t="i">337</v>
    <v t="i">338</v>
    <v t="i">341</v>
    <v t="i">342</v>
    <v t="i">343</v>
    <v t="i">344</v>
    <v t="i">345</v>
    <v t="i">348</v>
    <v t="i">349</v>
    <v t="i">350</v>
    <v t="i">351</v>
    <v t="i">352</v>
    <v t="i">355</v>
    <v t="i">356</v>
    <v t="i">357</v>
    <v t="i">358</v>
    <v t="i">362</v>
    <v t="i">363</v>
    <v t="i">364</v>
    <v t="i">365</v>
  </a>
  <a r="1" c="257">
    <v>55.05</v>
    <v>54.45</v>
    <v>54.05</v>
    <v>54.35</v>
    <v>54</v>
    <v>54.95</v>
    <v>55.35</v>
    <v>55.05</v>
    <v>55.05</v>
    <v>57.1</v>
    <v>56.5</v>
    <v>56.1</v>
    <v>56.5</v>
    <v>55.65</v>
    <v>56.8</v>
    <v>56.5</v>
    <v>56.75</v>
    <v>55.95</v>
    <v>56.05</v>
    <v>56.2</v>
    <v>55.3</v>
    <v>55.85</v>
    <v>55.8</v>
    <v>55.1</v>
    <v>55.95</v>
    <v>56.45</v>
    <v>56.35</v>
    <v>56.35</v>
    <v>56.95</v>
    <v>56.25</v>
    <v>55.35</v>
    <v>55.25</v>
    <v>54.5</v>
    <v>54.55</v>
    <v>55.1</v>
    <v>54.7</v>
    <v>54.7</v>
    <v>53</v>
    <v>51.95</v>
    <v>52.5</v>
    <v>50.7</v>
    <v>48.8</v>
    <v>49.24</v>
    <v>49.52</v>
    <v>50.05</v>
    <v>48.9</v>
    <v>46.22</v>
    <v>42.82</v>
    <v>41.92</v>
    <v>40.44</v>
    <v>35.700000000000003</v>
    <v>38.840000000000003</v>
    <v>37.36</v>
    <v>40.64</v>
    <v>43.54</v>
    <v>43.2</v>
    <v>41.48</v>
    <v>39.86</v>
    <v>42.86</v>
    <v>41.68</v>
    <v>43.62</v>
    <v>42.38</v>
    <v>39.340000000000003</v>
    <v>38.06</v>
    <v>37.799999999999997</v>
    <v>38.92</v>
    <v>39</v>
    <v>40.58</v>
    <v>40.119999999999997</v>
    <v>41</v>
    <v>40.74</v>
    <v>39.36</v>
    <v>36.26</v>
    <v>36.159999999999997</v>
    <v>38.700000000000003</v>
    <v>37.92</v>
    <v>37.14</v>
    <v>40.340000000000003</v>
    <v>40.619999999999997</v>
    <v>40</v>
    <v>39.78</v>
    <v>39.28</v>
    <v>39.840000000000003</v>
    <v>40.96</v>
    <v>38.96</v>
    <v>40.4</v>
    <v>40.119999999999997</v>
    <v>41.66</v>
    <v>41.66</v>
    <v>40.64</v>
    <v>41.02</v>
    <v>40.44</v>
    <v>39.54</v>
    <v>40.06</v>
    <v>43.1</v>
    <v>41.9</v>
    <v>42.34</v>
    <v>41.84</v>
    <v>42.18</v>
    <v>43.02</v>
    <v>43.78</v>
    <v>44.72</v>
    <v>44.14</v>
    <v>42.9</v>
    <v>43.78</v>
    <v>44.66</v>
    <v>45.78</v>
    <v>45.3</v>
    <v>46.04</v>
    <v>46.78</v>
    <v>46.04</v>
    <v>45.56</v>
    <v>43.58</v>
    <v>44.26</v>
    <v>44.36</v>
    <v>45.68</v>
    <v>43.94</v>
    <v>44.5</v>
    <v>45.24</v>
    <v>43.84</v>
    <v>43.7</v>
    <v>42.16</v>
    <v>42.18</v>
    <v>42.12</v>
    <v>42.64</v>
    <v>42.78</v>
    <v>43.3</v>
    <v>43.52</v>
    <v>42.96</v>
    <v>44.02</v>
    <v>43.06</v>
    <v>42.16</v>
    <v>40.6</v>
    <v>40.880000000000003</v>
    <v>40.98</v>
    <v>40.56</v>
    <v>40.56</v>
    <v>40.880000000000003</v>
    <v>40</v>
    <v>40.1</v>
    <v>40.86</v>
    <v>40.96</v>
    <v>40.659999999999997</v>
    <v>40.299999999999997</v>
    <v>40.06</v>
    <v>40.5</v>
    <v>40.32</v>
    <v>39.6</v>
    <v>39.96</v>
    <v>40.26</v>
    <v>40.14</v>
    <v>40.340000000000003</v>
    <v>40.159999999999997</v>
    <v>39.92</v>
    <v>40.020000000000003</v>
    <v>41.52</v>
    <v>41.16</v>
    <v>40.299999999999997</v>
    <v>39.76</v>
    <v>40.4</v>
    <v>40.26</v>
    <v>39.94</v>
    <v>39.42</v>
    <v>39.520000000000003</v>
    <v>40.26</v>
    <v>40.020000000000003</v>
    <v>39.380000000000003</v>
    <v>39.42</v>
    <v>39.200000000000003</v>
    <v>39.58</v>
    <v>38.44</v>
    <v>38.299999999999997</v>
    <v>37.76</v>
    <v>37.36</v>
    <v>38.32</v>
    <v>37.94</v>
    <v>38.520000000000003</v>
    <v>38.24</v>
    <v>38.200000000000003</v>
    <v>38.340000000000003</v>
    <v>38.56</v>
    <v>38.92</v>
    <v>38.700000000000003</v>
    <v>35.9</v>
    <v>36.14</v>
    <v>35.700000000000003</v>
    <v>35.4</v>
    <v>34.9</v>
    <v>34.36</v>
    <v>35.54</v>
    <v>34.44</v>
    <v>34.24</v>
    <v>31.98</v>
    <v>31.9</v>
    <v>32.020000000000003</v>
    <v>31.98</v>
    <v>30.3</v>
    <v>30.44</v>
    <v>30.48</v>
    <v>30.76</v>
    <v>30.54</v>
    <v>30.26</v>
    <v>29.58</v>
    <v>30.56</v>
    <v>30.94</v>
    <v>30.4</v>
    <v>29.84</v>
    <v>29.96</v>
    <v>30.6</v>
    <v>29.7</v>
    <v>29</v>
    <v>27.78</v>
    <v>28.3</v>
    <v>28.18</v>
    <v>28.96</v>
    <v>28.92</v>
    <v>29.9</v>
    <v>29.44</v>
    <v>31.02</v>
    <v>32</v>
    <v>34.4</v>
    <v>32.479999999999997</v>
    <v>32.92</v>
    <v>33.18</v>
    <v>33.520000000000003</v>
    <v>34.24</v>
    <v>34.5</v>
    <v>34.32</v>
    <v>35.479999999999997</v>
    <v>35.880000000000003</v>
    <v>37.56</v>
    <v>36.54</v>
    <v>36.659999999999997</v>
    <v>37.14</v>
    <v>35.880000000000003</v>
    <v>36.6</v>
    <v>36.78</v>
    <v>36.58</v>
    <v>37.54</v>
    <v>37.44</v>
    <v>37.200000000000003</v>
    <v>37.979999999999997</v>
    <v>37.9</v>
    <v>38</v>
    <v>38.299999999999997</v>
    <v>37.78</v>
    <v>37.42</v>
    <v>37.36</v>
    <v>37.1</v>
    <v>36.74</v>
    <v>37.46</v>
    <v>37.96</v>
    <v>37.94</v>
    <v>38.14</v>
    <v>38.26</v>
    <v>38.020000000000003</v>
    <v>37.979999999999997</v>
  </a>
</arrayData>
</file>

<file path=xl/richData/rdrichvalue.xml><?xml version="1.0" encoding="utf-8"?>
<rvData xmlns="http://schemas.microsoft.com/office/spreadsheetml/2017/richdata" count="1766">
  <rv s="0">
    <v>https://www.bing.com/financeapi/forcetrigger?t=ae9x7w&amp;q=XPAR%3aRUI&amp;form=skydnc</v>
    <v>Learn more on Bing</v>
  </rv>
  <rv s="1">
    <v>en-US</v>
    <v>ae9x7w</v>
    <v>268435456</v>
    <v>1</v>
    <v>Powered by Refinitiv</v>
    <v>0</v>
    <v>Rubis SCA (XPAR:RUI)</v>
    <v>2</v>
    <v>3</v>
    <v>Finance</v>
    <v>4</v>
    <v>33.15</v>
    <v>20.72</v>
    <v>1.2104999999999999</v>
    <v>-0.26</v>
    <v>-1.1484000000000001E-2</v>
    <v>EUR</v>
    <v>Rubis SCA is a France-based company. The Company is operating in the energy sector to provide supportable access to energy. It has diversified into the production of renewable electricity to adapt to changes in demand and climate issues. The Company is structured around operational divisions, such as Energy distribution (Rubis Energie) specialized in the products marketed: liquefied gases, fuels and biofuels in service stations, hotels, aviation, marine, public works, and others. Renewable electricity production (Rubis Renouvelables) focuses on bringing together the activities of Photosol which is into development, financing, operation and maintenance of the ground-based photovoltaic installations as well as shade structures.</v>
    <v>4700</v>
    <v>Euronext Paris</v>
    <v>XPAR</v>
    <v>XPAR</v>
    <v>46 Rue Boissiere, PARIS, ILE-DE-FRANCE, 75116 FR</v>
    <v>22.76</v>
    <v>Oil &amp; Gas</v>
    <v>Stock</v>
    <v>45611.708333333336</v>
    <v>0</v>
    <v>22.32</v>
    <v>2358095000</v>
    <v>Rubis SCA</v>
    <v>Rubis SCA</v>
    <v>22.44</v>
    <v>6.5998000000000001</v>
    <v>22.64</v>
    <v>22.38</v>
    <v>104156100</v>
    <v>RUI</v>
    <v>Rubis SCA (XPAR:RUI)</v>
    <v>256723</v>
    <v>232500</v>
    <v>1954</v>
  </rv>
  <rv s="2">
    <v>1</v>
  </rv>
  <rv s="3">
    <fb>43832</fb>
    <v>5</v>
  </rv>
  <rv s="3">
    <fb>55.05</fb>
    <v>6</v>
  </rv>
  <rv s="3">
    <fb>44200</fb>
    <v>5</v>
  </rv>
  <rv s="3">
    <fb>38.36</fb>
    <v>6</v>
  </rv>
  <rv s="3">
    <fb>44564</fb>
    <v>5</v>
  </rv>
  <rv s="3">
    <fb>27.22</fb>
    <v>6</v>
  </rv>
  <rv s="3">
    <fb>44928</fb>
    <v>5</v>
  </rv>
  <rv s="3">
    <fb>25.07</fb>
    <v>6</v>
  </rv>
  <rv s="3">
    <fb>43833</fb>
    <v>5</v>
  </rv>
  <rv s="3">
    <fb>54.45</fb>
    <v>6</v>
  </rv>
  <rv s="3">
    <fb>44201</fb>
    <v>5</v>
  </rv>
  <rv s="3">
    <fb>38.9</fb>
    <v>6</v>
  </rv>
  <rv s="3">
    <fb>44565</fb>
    <v>5</v>
  </rv>
  <rv s="3">
    <fb>27.97</fb>
    <v>6</v>
  </rv>
  <rv s="3">
    <fb>44929</fb>
    <v>5</v>
  </rv>
  <rv s="3">
    <fb>24.98</fb>
    <v>6</v>
  </rv>
  <rv s="3">
    <fb>43836</fb>
    <v>5</v>
  </rv>
  <rv s="3">
    <fb>54.05</fb>
    <v>6</v>
  </rv>
  <rv s="3">
    <fb>44202</fb>
    <v>5</v>
  </rv>
  <rv s="3">
    <fb>40.76</fb>
    <v>6</v>
  </rv>
  <rv s="3">
    <fb>44566</fb>
    <v>5</v>
  </rv>
  <rv s="3">
    <fb>27.92</fb>
    <v>6</v>
  </rv>
  <rv s="3">
    <fb>44930</fb>
    <v>5</v>
  </rv>
  <rv s="3">
    <fb>25.14</fb>
    <v>6</v>
  </rv>
  <rv s="3">
    <fb>43837</fb>
    <v>5</v>
  </rv>
  <rv s="3">
    <fb>54.35</fb>
    <v>6</v>
  </rv>
  <rv s="3">
    <fb>44203</fb>
    <v>5</v>
  </rv>
  <rv s="3">
    <fb>40.659999999999997</fb>
    <v>6</v>
  </rv>
  <rv s="3">
    <fb>44567</fb>
    <v>5</v>
  </rv>
  <rv s="3">
    <fb>27.94</fb>
    <v>6</v>
  </rv>
  <rv s="3">
    <fb>44931</fb>
    <v>5</v>
  </rv>
  <rv s="3">
    <fb>25.29</fb>
    <v>6</v>
  </rv>
  <rv s="3">
    <fb>43838</fb>
    <v>5</v>
  </rv>
  <rv s="3">
    <fb>54</fb>
    <v>6</v>
  </rv>
  <rv s="3">
    <fb>44204</fb>
    <v>5</v>
  </rv>
  <rv s="3">
    <fb>40.5</fb>
    <v>6</v>
  </rv>
  <rv s="3">
    <fb>44568</fb>
    <v>5</v>
  </rv>
  <rv s="3">
    <fb>44932</fb>
    <v>5</v>
  </rv>
  <rv s="3">
    <fb>25.33</fb>
    <v>6</v>
  </rv>
  <rv s="3">
    <fb>43839</fb>
    <v>5</v>
  </rv>
  <rv s="3">
    <fb>54.95</fb>
    <v>6</v>
  </rv>
  <rv s="3">
    <fb>44207</fb>
    <v>5</v>
  </rv>
  <rv s="3">
    <fb>40.24</fb>
    <v>6</v>
  </rv>
  <rv s="3">
    <fb>44571</fb>
    <v>5</v>
  </rv>
  <rv s="3">
    <fb>28.06</fb>
    <v>6</v>
  </rv>
  <rv s="3">
    <fb>44935</fb>
    <v>5</v>
  </rv>
  <rv s="3">
    <fb>25.61</fb>
    <v>6</v>
  </rv>
  <rv s="3">
    <fb>43840</fb>
    <v>5</v>
  </rv>
  <rv s="3">
    <fb>55.35</fb>
    <v>6</v>
  </rv>
  <rv s="3">
    <fb>44208</fb>
    <v>5</v>
  </rv>
  <rv s="3">
    <fb>40.619999999999997</fb>
    <v>6</v>
  </rv>
  <rv s="3">
    <fb>44572</fb>
    <v>5</v>
  </rv>
  <rv s="3">
    <fb>28.26</fb>
    <v>6</v>
  </rv>
  <rv s="3">
    <fb>44936</fb>
    <v>5</v>
  </rv>
  <rv s="3">
    <fb>25.13</fb>
    <v>6</v>
  </rv>
  <rv s="3">
    <fb>43843</fb>
    <v>5</v>
  </rv>
  <rv s="3">
    <fb>44209</fb>
    <v>5</v>
  </rv>
  <rv s="3">
    <fb>40.28</fb>
    <v>6</v>
  </rv>
  <rv s="3">
    <fb>44573</fb>
    <v>5</v>
  </rv>
  <rv s="3">
    <fb>28.23</fb>
    <v>6</v>
  </rv>
  <rv s="3">
    <fb>44937</fb>
    <v>5</v>
  </rv>
  <rv s="3">
    <fb>43844</fb>
    <v>5</v>
  </rv>
  <rv s="3">
    <fb>44210</fb>
    <v>5</v>
  </rv>
  <rv s="3">
    <fb>44574</fb>
    <v>5</v>
  </rv>
  <rv s="3">
    <fb>28.41</fb>
    <v>6</v>
  </rv>
  <rv s="3">
    <fb>44938</fb>
    <v>5</v>
  </rv>
  <rv s="3">
    <fb>25.8</fb>
    <v>6</v>
  </rv>
  <rv s="3">
    <fb>43845</fb>
    <v>5</v>
  </rv>
  <rv s="3">
    <fb>57.1</fb>
    <v>6</v>
  </rv>
  <rv s="3">
    <fb>44211</fb>
    <v>5</v>
  </rv>
  <rv s="3">
    <fb>40.1</fb>
    <v>6</v>
  </rv>
  <rv s="3">
    <fb>44575</fb>
    <v>5</v>
  </rv>
  <rv s="3">
    <fb>29.07</fb>
    <v>6</v>
  </rv>
  <rv s="3">
    <fb>44939</fb>
    <v>5</v>
  </rv>
  <rv s="3">
    <fb>25.83</fb>
    <v>6</v>
  </rv>
  <rv s="3">
    <fb>43846</fb>
    <v>5</v>
  </rv>
  <rv s="3">
    <fb>56.5</fb>
    <v>6</v>
  </rv>
  <rv s="3">
    <fb>44214</fb>
    <v>5</v>
  </rv>
  <rv s="3">
    <fb>39.86</fb>
    <v>6</v>
  </rv>
  <rv s="3">
    <fb>44578</fb>
    <v>5</v>
  </rv>
  <rv s="3">
    <fb>28.58</fb>
    <v>6</v>
  </rv>
  <rv s="3">
    <fb>44942</fb>
    <v>5</v>
  </rv>
  <rv s="3">
    <fb>26.08</fb>
    <v>6</v>
  </rv>
  <rv s="3">
    <fb>43847</fb>
    <v>5</v>
  </rv>
  <rv s="3">
    <fb>56.1</fb>
    <v>6</v>
  </rv>
  <rv s="3">
    <fb>44215</fb>
    <v>5</v>
  </rv>
  <rv s="3">
    <fb>39.9</fb>
    <v>6</v>
  </rv>
  <rv s="3">
    <fb>44579</fb>
    <v>5</v>
  </rv>
  <rv s="3">
    <fb>28.79</fb>
    <v>6</v>
  </rv>
  <rv s="3">
    <fb>44943</fb>
    <v>5</v>
  </rv>
  <rv s="3">
    <fb>26.27</fb>
    <v>6</v>
  </rv>
  <rv s="3">
    <fb>43850</fb>
    <v>5</v>
  </rv>
  <rv s="3">
    <fb>44216</fb>
    <v>5</v>
  </rv>
  <rv s="3">
    <fb>44580</fb>
    <v>5</v>
  </rv>
  <rv s="3">
    <fb>28.92</fb>
    <v>6</v>
  </rv>
  <rv s="3">
    <fb>44944</fb>
    <v>5</v>
  </rv>
  <rv s="3">
    <fb>26.39</fb>
    <v>6</v>
  </rv>
  <rv s="3">
    <fb>43851</fb>
    <v>5</v>
  </rv>
  <rv s="3">
    <fb>55.65</fb>
    <v>6</v>
  </rv>
  <rv s="3">
    <fb>44217</fb>
    <v>5</v>
  </rv>
  <rv s="3">
    <fb>39.4</fb>
    <v>6</v>
  </rv>
  <rv s="3">
    <fb>44581</fb>
    <v>5</v>
  </rv>
  <rv s="3">
    <fb>28.55</fb>
    <v>6</v>
  </rv>
  <rv s="3">
    <fb>44945</fb>
    <v>5</v>
  </rv>
  <rv s="3">
    <fb>25.67</fb>
    <v>6</v>
  </rv>
  <rv s="3">
    <fb>43852</fb>
    <v>5</v>
  </rv>
  <rv s="3">
    <fb>56.8</fb>
    <v>6</v>
  </rv>
  <rv s="3">
    <fb>44218</fb>
    <v>5</v>
  </rv>
  <rv s="3">
    <fb>39.1</fb>
    <v>6</v>
  </rv>
  <rv s="3">
    <fb>44582</fb>
    <v>5</v>
  </rv>
  <rv s="3">
    <fb>28.63</fb>
    <v>6</v>
  </rv>
  <rv s="3">
    <fb>44946</fb>
    <v>5</v>
  </rv>
  <rv s="3">
    <fb>25.74</fb>
    <v>6</v>
  </rv>
  <rv s="3">
    <fb>43853</fb>
    <v>5</v>
  </rv>
  <rv s="3">
    <fb>44221</fb>
    <v>5</v>
  </rv>
  <rv s="3">
    <fb>37.979999999999997</fb>
    <v>6</v>
  </rv>
  <rv s="3">
    <fb>44585</fb>
    <v>5</v>
  </rv>
  <rv s="3">
    <fb>28.56</fb>
    <v>6</v>
  </rv>
  <rv s="3">
    <fb>44949</fb>
    <v>5</v>
  </rv>
  <rv s="3">
    <fb>25.7</fb>
    <v>6</v>
  </rv>
  <rv s="3">
    <fb>43854</fb>
    <v>5</v>
  </rv>
  <rv s="3">
    <fb>56.75</fb>
    <v>6</v>
  </rv>
  <rv s="3">
    <fb>44222</fb>
    <v>5</v>
  </rv>
  <rv s="3">
    <fb>38.4</fb>
    <v>6</v>
  </rv>
  <rv s="3">
    <fb>44586</fb>
    <v>5</v>
  </rv>
  <rv s="3">
    <fb>29.06</fb>
    <v>6</v>
  </rv>
  <rv s="3">
    <fb>44950</fb>
    <v>5</v>
  </rv>
  <rv s="3">
    <fb>25.72</fb>
    <v>6</v>
  </rv>
  <rv s="3">
    <fb>43857</fb>
    <v>5</v>
  </rv>
  <rv s="3">
    <fb>55.95</fb>
    <v>6</v>
  </rv>
  <rv s="3">
    <fb>44223</fb>
    <v>5</v>
  </rv>
  <rv s="3">
    <fb>37.82</fb>
    <v>6</v>
  </rv>
  <rv s="3">
    <fb>44587</fb>
    <v>5</v>
  </rv>
  <rv s="3">
    <fb>28.93</fb>
    <v>6</v>
  </rv>
  <rv s="3">
    <fb>44951</fb>
    <v>5</v>
  </rv>
  <rv s="3">
    <fb>25.52</fb>
    <v>6</v>
  </rv>
  <rv s="3">
    <fb>43858</fb>
    <v>5</v>
  </rv>
  <rv s="3">
    <fb>56.05</fb>
    <v>6</v>
  </rv>
  <rv s="3">
    <fb>44224</fb>
    <v>5</v>
  </rv>
  <rv s="3">
    <fb>37.700000000000003</fb>
    <v>6</v>
  </rv>
  <rv s="3">
    <fb>44588</fb>
    <v>5</v>
  </rv>
  <rv s="3">
    <fb>29.43</fb>
    <v>6</v>
  </rv>
  <rv s="3">
    <fb>44952</fb>
    <v>5</v>
  </rv>
  <rv s="3">
    <fb>25.94</fb>
    <v>6</v>
  </rv>
  <rv s="3">
    <fb>43859</fb>
    <v>5</v>
  </rv>
  <rv s="3">
    <fb>56.2</fb>
    <v>6</v>
  </rv>
  <rv s="3">
    <fb>44225</fb>
    <v>5</v>
  </rv>
  <rv s="3">
    <fb>37.340000000000003</fb>
    <v>6</v>
  </rv>
  <rv s="3">
    <fb>44589</fb>
    <v>5</v>
  </rv>
  <rv s="3">
    <fb>28.78</fb>
    <v>6</v>
  </rv>
  <rv s="3">
    <fb>44953</fb>
    <v>5</v>
  </rv>
  <rv s="3">
    <fb>43860</fb>
    <v>5</v>
  </rv>
  <rv s="3">
    <fb>55.3</fb>
    <v>6</v>
  </rv>
  <rv s="3">
    <fb>44228</fb>
    <v>5</v>
  </rv>
  <rv s="3">
    <fb>38.020000000000003</fb>
    <v>6</v>
  </rv>
  <rv s="3">
    <fb>44592</fb>
    <v>5</v>
  </rv>
  <rv s="3">
    <fb>28.66</fb>
    <v>6</v>
  </rv>
  <rv s="3">
    <fb>44956</fb>
    <v>5</v>
  </rv>
  <rv s="3">
    <fb>25.58</fb>
    <v>6</v>
  </rv>
  <rv s="3">
    <fb>43861</fb>
    <v>5</v>
  </rv>
  <rv s="3">
    <fb>55.85</fb>
    <v>6</v>
  </rv>
  <rv s="3">
    <fb>44229</fb>
    <v>5</v>
  </rv>
  <rv s="3">
    <fb>37.92</fb>
    <v>6</v>
  </rv>
  <rv s="3">
    <fb>44593</fb>
    <v>5</v>
  </rv>
  <rv s="3">
    <fb>28.5</fb>
    <v>6</v>
  </rv>
  <rv s="3">
    <fb>44957</fb>
    <v>5</v>
  </rv>
  <rv s="3">
    <fb>43864</fb>
    <v>5</v>
  </rv>
  <rv s="3">
    <fb>55.8</fb>
    <v>6</v>
  </rv>
  <rv s="3">
    <fb>44230</fb>
    <v>5</v>
  </rv>
  <rv s="3">
    <fb>38.18</fb>
    <v>6</v>
  </rv>
  <rv s="3">
    <fb>44594</fb>
    <v>5</v>
  </rv>
  <rv s="3">
    <fb>28.44</fb>
    <v>6</v>
  </rv>
  <rv s="3">
    <fb>44958</fb>
    <v>5</v>
  </rv>
  <rv s="3">
    <fb>25.89</fb>
    <v>6</v>
  </rv>
  <rv s="3">
    <fb>43865</fb>
    <v>5</v>
  </rv>
  <rv s="3">
    <fb>55.1</fb>
    <v>6</v>
  </rv>
  <rv s="3">
    <fb>44231</fb>
    <v>5</v>
  </rv>
  <rv s="3">
    <fb>38.22</fb>
    <v>6</v>
  </rv>
  <rv s="3">
    <fb>44595</fb>
    <v>5</v>
  </rv>
  <rv s="3">
    <fb>44959</fb>
    <v>5</v>
  </rv>
  <rv s="3">
    <fb>26.03</fb>
    <v>6</v>
  </rv>
  <rv s="3">
    <fb>43866</fb>
    <v>5</v>
  </rv>
  <rv s="3">
    <fb>44232</fb>
    <v>5</v>
  </rv>
  <rv s="3">
    <fb>38.5</fb>
    <v>6</v>
  </rv>
  <rv s="3">
    <fb>44596</fb>
    <v>5</v>
  </rv>
  <rv s="3">
    <fb>28.04</fb>
    <v>6</v>
  </rv>
  <rv s="3">
    <fb>44960</fb>
    <v>5</v>
  </rv>
  <rv s="3">
    <fb>25.75</fb>
    <v>6</v>
  </rv>
  <rv s="3">
    <fb>43867</fb>
    <v>5</v>
  </rv>
  <rv s="3">
    <fb>56.45</fb>
    <v>6</v>
  </rv>
  <rv s="3">
    <fb>44235</fb>
    <v>5</v>
  </rv>
  <rv s="3">
    <fb>38.979999999999997</fb>
    <v>6</v>
  </rv>
  <rv s="3">
    <fb>44599</fb>
    <v>5</v>
  </rv>
  <rv s="3">
    <fb>28.54</fb>
    <v>6</v>
  </rv>
  <rv s="3">
    <fb>44963</fb>
    <v>5</v>
  </rv>
  <rv s="3">
    <fb>25.43</fb>
    <v>6</v>
  </rv>
  <rv s="3">
    <fb>43868</fb>
    <v>5</v>
  </rv>
  <rv s="3">
    <fb>56.35</fb>
    <v>6</v>
  </rv>
  <rv s="3">
    <fb>44236</fb>
    <v>5</v>
  </rv>
  <rv s="3">
    <fb>39.159999999999997</fb>
    <v>6</v>
  </rv>
  <rv s="3">
    <fb>44600</fb>
    <v>5</v>
  </rv>
  <rv s="3">
    <fb>28.77</fb>
    <v>6</v>
  </rv>
  <rv s="3">
    <fb>44964</fb>
    <v>5</v>
  </rv>
  <rv s="3">
    <fb>25.69</fb>
    <v>6</v>
  </rv>
  <rv s="3">
    <fb>43871</fb>
    <v>5</v>
  </rv>
  <rv s="3">
    <fb>44237</fb>
    <v>5</v>
  </rv>
  <rv s="3">
    <fb>39.5</fb>
    <v>6</v>
  </rv>
  <rv s="3">
    <fb>44601</fb>
    <v>5</v>
  </rv>
  <rv s="3">
    <fb>30.7</fb>
    <v>6</v>
  </rv>
  <rv s="3">
    <fb>44965</fb>
    <v>5</v>
  </rv>
  <rv s="3">
    <fb>25.88</fb>
    <v>6</v>
  </rv>
  <rv s="3">
    <fb>43872</fb>
    <v>5</v>
  </rv>
  <rv s="3">
    <fb>56.95</fb>
    <v>6</v>
  </rv>
  <rv s="3">
    <fb>44238</fb>
    <v>5</v>
  </rv>
  <rv s="3">
    <fb>39.700000000000003</fb>
    <v>6</v>
  </rv>
  <rv s="3">
    <fb>44602</fb>
    <v>5</v>
  </rv>
  <rv s="3">
    <fb>31.1</fb>
    <v>6</v>
  </rv>
  <rv s="3">
    <fb>44966</fb>
    <v>5</v>
  </rv>
  <rv s="3">
    <fb>25.85</fb>
    <v>6</v>
  </rv>
  <rv s="3">
    <fb>43873</fb>
    <v>5</v>
  </rv>
  <rv s="3">
    <fb>56.25</fb>
    <v>6</v>
  </rv>
  <rv s="3">
    <fb>44239</fb>
    <v>5</v>
  </rv>
  <rv s="3">
    <fb>38.299999999999997</fb>
    <v>6</v>
  </rv>
  <rv s="3">
    <fb>44603</fb>
    <v>5</v>
  </rv>
  <rv s="3">
    <fb>29.94</fb>
    <v>6</v>
  </rv>
  <rv s="3">
    <fb>44967</fb>
    <v>5</v>
  </rv>
  <rv s="3">
    <fb>25.82</fb>
    <v>6</v>
  </rv>
  <rv s="3">
    <fb>43874</fb>
    <v>5</v>
  </rv>
  <rv s="3">
    <fb>44242</fb>
    <v>5</v>
  </rv>
  <rv s="3">
    <fb>38.24</fb>
    <v>6</v>
  </rv>
  <rv s="3">
    <fb>44606</fb>
    <v>5</v>
  </rv>
  <rv s="3">
    <fb>29.36</fb>
    <v>6</v>
  </rv>
  <rv s="3">
    <fb>44970</fb>
    <v>5</v>
  </rv>
  <rv s="3">
    <fb>25.86</fb>
    <v>6</v>
  </rv>
  <rv s="3">
    <fb>43875</fb>
    <v>5</v>
  </rv>
  <rv s="3">
    <fb>55.25</fb>
    <v>6</v>
  </rv>
  <rv s="3">
    <fb>44243</fb>
    <v>5</v>
  </rv>
  <rv s="3">
    <fb>44607</fb>
    <v>5</v>
  </rv>
  <rv s="3">
    <fb>29.4</fb>
    <v>6</v>
  </rv>
  <rv s="3">
    <fb>44971</fb>
    <v>5</v>
  </rv>
  <rv s="3">
    <fb>43878</fb>
    <v>5</v>
  </rv>
  <rv s="3">
    <fb>54.5</fb>
    <v>6</v>
  </rv>
  <rv s="3">
    <fb>44244</fb>
    <v>5</v>
  </rv>
  <rv s="3">
    <fb>38.479999999999997</fb>
    <v>6</v>
  </rv>
  <rv s="3">
    <fb>44608</fb>
    <v>5</v>
  </rv>
  <rv s="3">
    <fb>30.04</fb>
    <v>6</v>
  </rv>
  <rv s="3">
    <fb>44972</fb>
    <v>5</v>
  </rv>
  <rv s="3">
    <fb>25.93</fb>
    <v>6</v>
  </rv>
  <rv s="3">
    <fb>43879</fb>
    <v>5</v>
  </rv>
  <rv s="3">
    <fb>54.55</fb>
    <v>6</v>
  </rv>
  <rv s="3">
    <fb>44245</fb>
    <v>5</v>
  </rv>
  <rv s="3">
    <fb>38.6</fb>
    <v>6</v>
  </rv>
  <rv s="3">
    <fb>44609</fb>
    <v>5</v>
  </rv>
  <rv s="3">
    <fb>29.74</fb>
    <v>6</v>
  </rv>
  <rv s="3">
    <fb>44973</fb>
    <v>5</v>
  </rv>
  <rv s="3">
    <fb>25.96</fb>
    <v>6</v>
  </rv>
  <rv s="3">
    <fb>43880</fb>
    <v>5</v>
  </rv>
  <rv s="3">
    <fb>44246</fb>
    <v>5</v>
  </rv>
  <rv s="3">
    <fb>44610</fb>
    <v>5</v>
  </rv>
  <rv s="3">
    <fb>29.59</fb>
    <v>6</v>
  </rv>
  <rv s="3">
    <fb>44974</fb>
    <v>5</v>
  </rv>
  <rv s="3">
    <fb>26.01</fb>
    <v>6</v>
  </rv>
  <rv s="3">
    <fb>43881</fb>
    <v>5</v>
  </rv>
  <rv s="3">
    <fb>54.7</fb>
    <v>6</v>
  </rv>
  <rv s="3">
    <fb>44249</fb>
    <v>5</v>
  </rv>
  <rv s="3">
    <fb>38.200000000000003</fb>
    <v>6</v>
  </rv>
  <rv s="3">
    <fb>44613</fb>
    <v>5</v>
  </rv>
  <rv s="3">
    <fb>28.96</fb>
    <v>6</v>
  </rv>
  <rv s="3">
    <fb>44977</fb>
    <v>5</v>
  </rv>
  <rv s="3">
    <fb>26.2</fb>
    <v>6</v>
  </rv>
  <rv s="3">
    <fb>43882</fb>
    <v>5</v>
  </rv>
  <rv s="3">
    <fb>44250</fb>
    <v>5</v>
  </rv>
  <rv s="3">
    <fb>38.700000000000003</fb>
    <v>6</v>
  </rv>
  <rv s="3">
    <fb>44614</fb>
    <v>5</v>
  </rv>
  <rv s="3">
    <fb>28.32</fb>
    <v>6</v>
  </rv>
  <rv s="3">
    <fb>44978</fb>
    <v>5</v>
  </rv>
  <rv s="3">
    <fb>26.18</fb>
    <v>6</v>
  </rv>
  <rv s="3">
    <fb>43885</fb>
    <v>5</v>
  </rv>
  <rv s="3">
    <fb>53</fb>
    <v>6</v>
  </rv>
  <rv s="3">
    <fb>44251</fb>
    <v>5</v>
  </rv>
  <rv s="3">
    <fb>38.78</fb>
    <v>6</v>
  </rv>
  <rv s="3">
    <fb>44615</fb>
    <v>5</v>
  </rv>
  <rv s="3">
    <fb>44979</fb>
    <v>5</v>
  </rv>
  <rv s="3">
    <fb>43886</fb>
    <v>5</v>
  </rv>
  <rv s="3">
    <fb>51.95</fb>
    <v>6</v>
  </rv>
  <rv s="3">
    <fb>44252</fb>
    <v>5</v>
  </rv>
  <rv s="3">
    <fb>44616</fb>
    <v>5</v>
  </rv>
  <rv s="3">
    <fb>27.54</fb>
    <v>6</v>
  </rv>
  <rv s="3">
    <fb>44980</fb>
    <v>5</v>
  </rv>
  <rv s="3">
    <fb>26.23</fb>
    <v>6</v>
  </rv>
  <rv s="3">
    <fb>43887</fb>
    <v>5</v>
  </rv>
  <rv s="3">
    <fb>52.5</fb>
    <v>6</v>
  </rv>
  <rv s="3">
    <fb>44253</fb>
    <v>5</v>
  </rv>
  <rv s="3">
    <fb>37.96</fb>
    <v>6</v>
  </rv>
  <rv s="3">
    <fb>44617</fb>
    <v>5</v>
  </rv>
  <rv s="3">
    <fb>28.29</fb>
    <v>6</v>
  </rv>
  <rv s="3">
    <fb>44981</fb>
    <v>5</v>
  </rv>
  <rv s="3">
    <fb>43888</fb>
    <v>5</v>
  </rv>
  <rv s="3">
    <fb>50.7</fb>
    <v>6</v>
  </rv>
  <rv s="3">
    <fb>44256</fb>
    <v>5</v>
  </rv>
  <rv s="3">
    <fb>38.56</fb>
    <v>6</v>
  </rv>
  <rv s="3">
    <fb>44620</fb>
    <v>5</v>
  </rv>
  <rv s="3">
    <fb>44984</fb>
    <v>5</v>
  </rv>
  <rv s="3">
    <fb>26.43</fb>
    <v>6</v>
  </rv>
  <rv s="3">
    <fb>43889</fb>
    <v>5</v>
  </rv>
  <rv s="3">
    <fb>48.8</fb>
    <v>6</v>
  </rv>
  <rv s="3">
    <fb>44257</fb>
    <v>5</v>
  </rv>
  <rv s="3">
    <fb>38.159999999999997</fb>
    <v>6</v>
  </rv>
  <rv s="3">
    <fb>44621</fb>
    <v>5</v>
  </rv>
  <rv s="3">
    <fb>27.72</fb>
    <v>6</v>
  </rv>
  <rv s="3">
    <fb>44985</fb>
    <v>5</v>
  </rv>
  <rv s="3">
    <fb>26.16</fb>
    <v>6</v>
  </rv>
  <rv s="3">
    <fb>43892</fb>
    <v>5</v>
  </rv>
  <rv s="3">
    <fb>49.24</fb>
    <v>6</v>
  </rv>
  <rv s="3">
    <fb>44258</fb>
    <v>5</v>
  </rv>
  <rv s="3">
    <fb>38.08</fb>
    <v>6</v>
  </rv>
  <rv s="3">
    <fb>44622</fb>
    <v>5</v>
  </rv>
  <rv s="3">
    <fb>28.01</fb>
    <v>6</v>
  </rv>
  <rv s="3">
    <fb>44986</fb>
    <v>5</v>
  </rv>
  <rv s="3">
    <fb>26.06</fb>
    <v>6</v>
  </rv>
  <rv s="3">
    <fb>43893</fb>
    <v>5</v>
  </rv>
  <rv s="3">
    <fb>49.52</fb>
    <v>6</v>
  </rv>
  <rv s="3">
    <fb>44259</fb>
    <v>5</v>
  </rv>
  <rv s="3">
    <fb>38.840000000000003</fb>
    <v>6</v>
  </rv>
  <rv s="3">
    <fb>44623</fb>
    <v>5</v>
  </rv>
  <rv s="3">
    <fb>27.19</fb>
    <v>6</v>
  </rv>
  <rv s="3">
    <fb>44987</fb>
    <v>5</v>
  </rv>
  <rv s="3">
    <fb>26.19</fb>
    <v>6</v>
  </rv>
  <rv s="3">
    <fb>43894</fb>
    <v>5</v>
  </rv>
  <rv s="3">
    <fb>50.05</fb>
    <v>6</v>
  </rv>
  <rv s="3">
    <fb>44260</fb>
    <v>5</v>
  </rv>
  <rv s="3">
    <fb>39.78</fb>
    <v>6</v>
  </rv>
  <rv s="3">
    <fb>44624</fb>
    <v>5</v>
  </rv>
  <rv s="3">
    <fb>24.72</fb>
    <v>6</v>
  </rv>
  <rv s="3">
    <fb>44988</fb>
    <v>5</v>
  </rv>
  <rv s="3">
    <fb>26.45</fb>
    <v>6</v>
  </rv>
  <rv s="3">
    <fb>43895</fb>
    <v>5</v>
  </rv>
  <rv s="3">
    <fb>48.9</fb>
    <v>6</v>
  </rv>
  <rv s="3">
    <fb>44263</fb>
    <v>5</v>
  </rv>
  <rv s="3">
    <fb>40.74</fb>
    <v>6</v>
  </rv>
  <rv s="3">
    <fb>44627</fb>
    <v>5</v>
  </rv>
  <rv s="3">
    <fb>25.47</fb>
    <v>6</v>
  </rv>
  <rv s="3">
    <fb>44991</fb>
    <v>5</v>
  </rv>
  <rv s="3">
    <fb>43896</fb>
    <v>5</v>
  </rv>
  <rv s="3">
    <fb>46.22</fb>
    <v>6</v>
  </rv>
  <rv s="3">
    <fb>44264</fb>
    <v>5</v>
  </rv>
  <rv s="3">
    <fb>40.799999999999997</fb>
    <v>6</v>
  </rv>
  <rv s="3">
    <fb>44628</fb>
    <v>5</v>
  </rv>
  <rv s="3">
    <fb>25.9</fb>
    <v>6</v>
  </rv>
  <rv s="3">
    <fb>44992</fb>
    <v>5</v>
  </rv>
  <rv s="3">
    <fb>26.33</fb>
    <v>6</v>
  </rv>
  <rv s="3">
    <fb>43899</fb>
    <v>5</v>
  </rv>
  <rv s="3">
    <fb>42.82</fb>
    <v>6</v>
  </rv>
  <rv s="3">
    <fb>44265</fb>
    <v>5</v>
  </rv>
  <rv s="3">
    <fb>41.5</fb>
    <v>6</v>
  </rv>
  <rv s="3">
    <fb>44629</fb>
    <v>5</v>
  </rv>
  <rv s="3">
    <fb>26.89</fb>
    <v>6</v>
  </rv>
  <rv s="3">
    <fb>44993</fb>
    <v>5</v>
  </rv>
  <rv s="3">
    <fb>26.41</fb>
    <v>6</v>
  </rv>
  <rv s="3">
    <fb>43900</fb>
    <v>5</v>
  </rv>
  <rv s="3">
    <fb>41.92</fb>
    <v>6</v>
  </rv>
  <rv s="3">
    <fb>44266</fb>
    <v>5</v>
  </rv>
  <rv s="3">
    <fb>40.880000000000003</fb>
    <v>6</v>
  </rv>
  <rv s="3">
    <fb>44630</fb>
    <v>5</v>
  </rv>
  <rv s="3">
    <fb>26.42</fb>
    <v>6</v>
  </rv>
  <rv s="3">
    <fb>44994</fb>
    <v>5</v>
  </rv>
  <rv s="3">
    <fb>26.29</fb>
    <v>6</v>
  </rv>
  <rv s="3">
    <fb>43901</fb>
    <v>5</v>
  </rv>
  <rv s="3">
    <fb>40.44</fb>
    <v>6</v>
  </rv>
  <rv s="3">
    <fb>44267</fb>
    <v>5</v>
  </rv>
  <rv s="3">
    <fb>41.36</fb>
    <v>6</v>
  </rv>
  <rv s="3">
    <fb>44631</fb>
    <v>5</v>
  </rv>
  <rv s="3">
    <fb>28.45</fb>
    <v>6</v>
  </rv>
  <rv s="3">
    <fb>44995</fb>
    <v>5</v>
  </rv>
  <rv s="3">
    <fb>25.95</fb>
    <v>6</v>
  </rv>
  <rv s="3">
    <fb>43902</fb>
    <v>5</v>
  </rv>
  <rv s="3">
    <fb>35.700000000000003</fb>
    <v>6</v>
  </rv>
  <rv s="3">
    <fb>44270</fb>
    <v>5</v>
  </rv>
  <rv s="3">
    <fb>44634</fb>
    <v>5</v>
  </rv>
  <rv s="3">
    <fb>26.11</fb>
    <v>6</v>
  </rv>
  <rv s="3">
    <fb>44998</fb>
    <v>5</v>
  </rv>
  <rv s="3">
    <fb>25.24</fb>
    <v>6</v>
  </rv>
  <rv s="3">
    <fb>43903</fb>
    <v>5</v>
  </rv>
  <rv s="3">
    <fb>44271</fb>
    <v>5</v>
  </rv>
  <rv s="3">
    <fb>40.6</fb>
    <v>6</v>
  </rv>
  <rv s="3">
    <fb>44635</fb>
    <v>5</v>
  </rv>
  <rv s="3">
    <fb>26.71</fb>
    <v>6</v>
  </rv>
  <rv s="3">
    <fb>44999</fb>
    <v>5</v>
  </rv>
  <rv s="3">
    <fb>25.31</fb>
    <v>6</v>
  </rv>
  <rv s="3">
    <fb>43906</fb>
    <v>5</v>
  </rv>
  <rv s="3">
    <fb>37.36</fb>
    <v>6</v>
  </rv>
  <rv s="3">
    <fb>44272</fb>
    <v>5</v>
  </rv>
  <rv s="3">
    <fb>40.36</fb>
    <v>6</v>
  </rv>
  <rv s="3">
    <fb>44636</fb>
    <v>5</v>
  </rv>
  <rv s="3">
    <fb>26.78</fb>
    <v>6</v>
  </rv>
  <rv s="3">
    <fb>45000</fb>
    <v>5</v>
  </rv>
  <rv s="3">
    <fb>24.37</fb>
    <v>6</v>
  </rv>
  <rv s="3">
    <fb>43907</fb>
    <v>5</v>
  </rv>
  <rv s="3">
    <fb>40.64</fb>
    <v>6</v>
  </rv>
  <rv s="3">
    <fb>44273</fb>
    <v>5</v>
  </rv>
  <rv s="3">
    <fb>40.299999999999997</fb>
    <v>6</v>
  </rv>
  <rv s="3">
    <fb>44637</fb>
    <v>5</v>
  </rv>
  <rv s="3">
    <fb>26.85</fb>
    <v>6</v>
  </rv>
  <rv s="3">
    <fb>45001</fb>
    <v>5</v>
  </rv>
  <rv s="3">
    <fb>24.75</fb>
    <v>6</v>
  </rv>
  <rv s="3">
    <fb>43908</fb>
    <v>5</v>
  </rv>
  <rv s="3">
    <fb>43.54</fb>
    <v>6</v>
  </rv>
  <rv s="3">
    <fb>44274</fb>
    <v>5</v>
  </rv>
  <rv s="3">
    <fb>40.119999999999997</fb>
    <v>6</v>
  </rv>
  <rv s="3">
    <fb>44638</fb>
    <v>5</v>
  </rv>
  <rv s="3">
    <fb>45002</fb>
    <v>5</v>
  </rv>
  <rv s="3">
    <fb>24.34</fb>
    <v>6</v>
  </rv>
  <rv s="3">
    <fb>43909</fb>
    <v>5</v>
  </rv>
  <rv s="3">
    <fb>43.2</fb>
    <v>6</v>
  </rv>
  <rv s="3">
    <fb>44277</fb>
    <v>5</v>
  </rv>
  <rv s="3">
    <fb>44641</fb>
    <v>5</v>
  </rv>
  <rv s="3">
    <fb>27.78</fb>
    <v>6</v>
  </rv>
  <rv s="3">
    <fb>45005</fb>
    <v>5</v>
  </rv>
  <rv s="3">
    <fb>24.45</fb>
    <v>6</v>
  </rv>
  <rv s="3">
    <fb>43910</fb>
    <v>5</v>
  </rv>
  <rv s="3">
    <fb>41.48</fb>
    <v>6</v>
  </rv>
  <rv s="3">
    <fb>44278</fb>
    <v>5</v>
  </rv>
  <rv s="3">
    <fb>40.06</fb>
    <v>6</v>
  </rv>
  <rv s="3">
    <fb>44642</fb>
    <v>5</v>
  </rv>
  <rv s="3">
    <fb>27.74</fb>
    <v>6</v>
  </rv>
  <rv s="3">
    <fb>45006</fb>
    <v>5</v>
  </rv>
  <rv s="3">
    <fb>24.7</fb>
    <v>6</v>
  </rv>
  <rv s="3">
    <fb>43913</fb>
    <v>5</v>
  </rv>
  <rv s="3">
    <fb>44279</fb>
    <v>5</v>
  </rv>
  <rv s="3">
    <fb>40.380000000000003</fb>
    <v>6</v>
  </rv>
  <rv s="3">
    <fb>44643</fb>
    <v>5</v>
  </rv>
  <rv s="3">
    <fb>27.53</fb>
    <v>6</v>
  </rv>
  <rv s="3">
    <fb>45007</fb>
    <v>5</v>
  </rv>
  <rv s="3">
    <fb>24.33</fb>
    <v>6</v>
  </rv>
  <rv s="3">
    <fb>43914</fb>
    <v>5</v>
  </rv>
  <rv s="3">
    <fb>42.86</fb>
    <v>6</v>
  </rv>
  <rv s="3">
    <fb>44280</fb>
    <v>5</v>
  </rv>
  <rv s="3">
    <fb>40.18</fb>
    <v>6</v>
  </rv>
  <rv s="3">
    <fb>44644</fb>
    <v>5</v>
  </rv>
  <rv s="3">
    <fb>26.81</fb>
    <v>6</v>
  </rv>
  <rv s="3">
    <fb>45008</fb>
    <v>5</v>
  </rv>
  <rv s="3">
    <fb>24.09</fb>
    <v>6</v>
  </rv>
  <rv s="3">
    <fb>43915</fb>
    <v>5</v>
  </rv>
  <rv s="3">
    <fb>41.68</fb>
    <v>6</v>
  </rv>
  <rv s="3">
    <fb>44281</fb>
    <v>5</v>
  </rv>
  <rv s="3">
    <fb>40.479999999999997</fb>
    <v>6</v>
  </rv>
  <rv s="3">
    <fb>44645</fb>
    <v>5</v>
  </rv>
  <rv s="3">
    <fb>26.93</fb>
    <v>6</v>
  </rv>
  <rv s="3">
    <fb>45009</fb>
    <v>5</v>
  </rv>
  <rv s="3">
    <fb>23.73</fb>
    <v>6</v>
  </rv>
  <rv s="3">
    <fb>43916</fb>
    <v>5</v>
  </rv>
  <rv s="3">
    <fb>43.62</fb>
    <v>6</v>
  </rv>
  <rv s="3">
    <fb>44284</fb>
    <v>5</v>
  </rv>
  <rv s="3">
    <fb>40.54</fb>
    <v>6</v>
  </rv>
  <rv s="3">
    <fb>44648</fb>
    <v>5</v>
  </rv>
  <rv s="3">
    <fb>26.76</fb>
    <v>6</v>
  </rv>
  <rv s="3">
    <fb>45012</fb>
    <v>5</v>
  </rv>
  <rv s="3">
    <fb>23.71</fb>
    <v>6</v>
  </rv>
  <rv s="3">
    <fb>43917</fb>
    <v>5</v>
  </rv>
  <rv s="3">
    <fb>42.38</fb>
    <v>6</v>
  </rv>
  <rv s="3">
    <fb>44285</fb>
    <v>5</v>
  </rv>
  <rv s="3">
    <fb>40.9</fb>
    <v>6</v>
  </rv>
  <rv s="3">
    <fb>44649</fb>
    <v>5</v>
  </rv>
  <rv s="3">
    <fb>26.98</fb>
    <v>6</v>
  </rv>
  <rv s="3">
    <fb>45013</fb>
    <v>5</v>
  </rv>
  <rv s="3">
    <fb>23.81</fb>
    <v>6</v>
  </rv>
  <rv s="3">
    <fb>43920</fb>
    <v>5</v>
  </rv>
  <rv s="3">
    <fb>39.340000000000003</fb>
    <v>6</v>
  </rv>
  <rv s="3">
    <fb>44286</fb>
    <v>5</v>
  </rv>
  <rv s="3">
    <fb>40.4</fb>
    <v>6</v>
  </rv>
  <rv s="3">
    <fb>44650</fb>
    <v>5</v>
  </rv>
  <rv s="3">
    <fb>26.91</fb>
    <v>6</v>
  </rv>
  <rv s="3">
    <fb>45014</fb>
    <v>5</v>
  </rv>
  <rv s="3">
    <fb>23.94</fb>
    <v>6</v>
  </rv>
  <rv s="3">
    <fb>43921</fb>
    <v>5</v>
  </rv>
  <rv s="3">
    <fb>38.06</fb>
    <v>6</v>
  </rv>
  <rv s="3">
    <fb>44287</fb>
    <v>5</v>
  </rv>
  <rv s="3">
    <fb>41.13</fb>
    <v>6</v>
  </rv>
  <rv s="3">
    <fb>44651</fb>
    <v>5</v>
  </rv>
  <rv s="3">
    <fb>26.67</fb>
    <v>6</v>
  </rv>
  <rv s="3">
    <fb>45015</fb>
    <v>5</v>
  </rv>
  <rv s="3">
    <fb>24.52</fb>
    <v>6</v>
  </rv>
  <rv s="3">
    <fb>43922</fb>
    <v>5</v>
  </rv>
  <rv s="3">
    <fb>37.799999999999997</fb>
    <v>6</v>
  </rv>
  <rv s="3">
    <fb>44292</fb>
    <v>5</v>
  </rv>
  <rv s="3">
    <fb>41.34</fb>
    <v>6</v>
  </rv>
  <rv s="3">
    <fb>44652</fb>
    <v>5</v>
  </rv>
  <rv s="3">
    <fb>27.03</fb>
    <v>6</v>
  </rv>
  <rv s="3">
    <fb>45016</fb>
    <v>5</v>
  </rv>
  <rv s="3">
    <fb>24.67</fb>
    <v>6</v>
  </rv>
  <rv s="3">
    <fb>43923</fb>
    <v>5</v>
  </rv>
  <rv s="3">
    <fb>38.92</fb>
    <v>6</v>
  </rv>
  <rv s="3">
    <fb>44293</fb>
    <v>5</v>
  </rv>
  <rv s="3">
    <fb>41.85</fb>
    <v>6</v>
  </rv>
  <rv s="3">
    <fb>44655</fb>
    <v>5</v>
  </rv>
  <rv s="3">
    <fb>45019</fb>
    <v>5</v>
  </rv>
  <rv s="3">
    <fb>25.04</fb>
    <v>6</v>
  </rv>
  <rv s="3">
    <fb>43924</fb>
    <v>5</v>
  </rv>
  <rv s="3">
    <fb>39</fb>
    <v>6</v>
  </rv>
  <rv s="3">
    <fb>44294</fb>
    <v>5</v>
  </rv>
  <rv s="3">
    <fb>41.75</fb>
    <v>6</v>
  </rv>
  <rv s="3">
    <fb>44656</fb>
    <v>5</v>
  </rv>
  <rv s="3">
    <fb>26.53</fb>
    <v>6</v>
  </rv>
  <rv s="3">
    <fb>45020</fb>
    <v>5</v>
  </rv>
  <rv s="3">
    <fb>25.3</fb>
    <v>6</v>
  </rv>
  <rv s="3">
    <fb>43927</fb>
    <v>5</v>
  </rv>
  <rv s="3">
    <fb>40.58</fb>
    <v>6</v>
  </rv>
  <rv s="3">
    <fb>44295</fb>
    <v>5</v>
  </rv>
  <rv s="3">
    <fb>40.200000000000003</fb>
    <v>6</v>
  </rv>
  <rv s="3">
    <fb>44657</fb>
    <v>5</v>
  </rv>
  <rv s="3">
    <fb>26.28</fb>
    <v>6</v>
  </rv>
  <rv s="3">
    <fb>45021</fb>
    <v>5</v>
  </rv>
  <rv s="3">
    <fb>24.92</fb>
    <v>6</v>
  </rv>
  <rv s="3">
    <fb>43928</fb>
    <v>5</v>
  </rv>
  <rv s="3">
    <fb>44298</fb>
    <v>5</v>
  </rv>
  <rv s="3">
    <fb>40.01</fb>
    <v>6</v>
  </rv>
  <rv s="3">
    <fb>44658</fb>
    <v>5</v>
  </rv>
  <rv s="3">
    <fb>45022</fb>
    <v>5</v>
  </rv>
  <rv s="3">
    <fb>25.08</fb>
    <v>6</v>
  </rv>
  <rv s="3">
    <fb>43929</fb>
    <v>5</v>
  </rv>
  <rv s="3">
    <fb>41</fb>
    <v>6</v>
  </rv>
  <rv s="3">
    <fb>44299</fb>
    <v>5</v>
  </rv>
  <rv s="3">
    <fb>39.96</fb>
    <v>6</v>
  </rv>
  <rv s="3">
    <fb>44659</fb>
    <v>5</v>
  </rv>
  <rv s="3">
    <fb>26.44</fb>
    <v>6</v>
  </rv>
  <rv s="3">
    <fb>45027</fb>
    <v>5</v>
  </rv>
  <rv s="3">
    <fb>25.48</fb>
    <v>6</v>
  </rv>
  <rv s="3">
    <fb>43930</fb>
    <v>5</v>
  </rv>
  <rv s="3">
    <fb>44300</fb>
    <v>5</v>
  </rv>
  <rv s="3">
    <fb>39.799999999999997</fb>
    <v>6</v>
  </rv>
  <rv s="3">
    <fb>44662</fb>
    <v>5</v>
  </rv>
  <rv s="3">
    <fb>26.77</fb>
    <v>6</v>
  </rv>
  <rv s="3">
    <fb>45028</fb>
    <v>5</v>
  </rv>
  <rv s="3">
    <fb>26</fb>
    <v>6</v>
  </rv>
  <rv s="3">
    <fb>43935</fb>
    <v>5</v>
  </rv>
  <rv s="3">
    <fb>39.36</fb>
    <v>6</v>
  </rv>
  <rv s="3">
    <fb>44301</fb>
    <v>5</v>
  </rv>
  <rv s="3">
    <fb>44663</fb>
    <v>5</v>
  </rv>
  <rv s="3">
    <fb>26.9</fb>
    <v>6</v>
  </rv>
  <rv s="3">
    <fb>45029</fb>
    <v>5</v>
  </rv>
  <rv s="3">
    <fb>26.26</fb>
    <v>6</v>
  </rv>
  <rv s="3">
    <fb>43936</fb>
    <v>5</v>
  </rv>
  <rv s="3">
    <fb>36.26</fb>
    <v>6</v>
  </rv>
  <rv s="3">
    <fb>44302</fb>
    <v>5</v>
  </rv>
  <rv s="3">
    <fb>39.450000000000003</fb>
    <v>6</v>
  </rv>
  <rv s="3">
    <fb>44664</fb>
    <v>5</v>
  </rv>
  <rv s="3">
    <fb>27.14</fb>
    <v>6</v>
  </rv>
  <rv s="3">
    <fb>45030</fb>
    <v>5</v>
  </rv>
  <rv s="3">
    <fb>26.32</fb>
    <v>6</v>
  </rv>
  <rv s="3">
    <fb>43937</fb>
    <v>5</v>
  </rv>
  <rv s="3">
    <fb>36.159999999999997</fb>
    <v>6</v>
  </rv>
  <rv s="3">
    <fb>44305</fb>
    <v>5</v>
  </rv>
  <rv s="3">
    <fb>39.65</fb>
    <v>6</v>
  </rv>
  <rv s="3">
    <fb>44665</fb>
    <v>5</v>
  </rv>
  <rv s="3">
    <fb>24.87</fb>
    <v>6</v>
  </rv>
  <rv s="3">
    <fb>45033</fb>
    <v>5</v>
  </rv>
  <rv s="3">
    <fb>26.46</fb>
    <v>6</v>
  </rv>
  <rv s="3">
    <fb>43938</fb>
    <v>5</v>
  </rv>
  <rv s="3">
    <fb>44306</fb>
    <v>5</v>
  </rv>
  <rv s="3">
    <fb>39.46</fb>
    <v>6</v>
  </rv>
  <rv s="3">
    <fb>44670</fb>
    <v>5</v>
  </rv>
  <rv s="3">
    <fb>25.05</fb>
    <v>6</v>
  </rv>
  <rv s="3">
    <fb>45034</fb>
    <v>5</v>
  </rv>
  <rv s="3">
    <fb>26.36</fb>
    <v>6</v>
  </rv>
  <rv s="3">
    <fb>43941</fb>
    <v>5</v>
  </rv>
  <rv s="3">
    <fb>44307</fb>
    <v>5</v>
  </rv>
  <rv s="3">
    <fb>38.93</fb>
    <v>6</v>
  </rv>
  <rv s="3">
    <fb>44671</fb>
    <v>5</v>
  </rv>
  <rv s="3">
    <fb>45035</fb>
    <v>5</v>
  </rv>
  <rv s="3">
    <fb>26.1</fb>
    <v>6</v>
  </rv>
  <rv s="3">
    <fb>43942</fb>
    <v>5</v>
  </rv>
  <rv s="3">
    <fb>37.14</fb>
    <v>6</v>
  </rv>
  <rv s="3">
    <fb>44308</fb>
    <v>5</v>
  </rv>
  <rv s="3">
    <fb>39.020000000000003</fb>
    <v>6</v>
  </rv>
  <rv s="3">
    <fb>44672</fb>
    <v>5</v>
  </rv>
  <rv s="3">
    <fb>45036</fb>
    <v>5</v>
  </rv>
  <rv s="3">
    <fb>43943</fb>
    <v>5</v>
  </rv>
  <rv s="3">
    <fb>40.340000000000003</fb>
    <v>6</v>
  </rv>
  <rv s="3">
    <fb>44309</fb>
    <v>5</v>
  </rv>
  <rv s="3">
    <fb>38.47</fb>
    <v>6</v>
  </rv>
  <rv s="3">
    <fb>44673</fb>
    <v>5</v>
  </rv>
  <rv s="3">
    <fb>45037</fb>
    <v>5</v>
  </rv>
  <rv s="3">
    <fb>43944</fb>
    <v>5</v>
  </rv>
  <rv s="3">
    <fb>44312</fb>
    <v>5</v>
  </rv>
  <rv s="3">
    <fb>38.85</fb>
    <v>6</v>
  </rv>
  <rv s="3">
    <fb>44676</fb>
    <v>5</v>
  </rv>
  <rv s="3">
    <fb>25.28</fb>
    <v>6</v>
  </rv>
  <rv s="3">
    <fb>45040</fb>
    <v>5</v>
  </rv>
  <rv s="3">
    <fb>43945</fb>
    <v>5</v>
  </rv>
  <rv s="3">
    <fb>40</fb>
    <v>6</v>
  </rv>
  <rv s="3">
    <fb>44313</fb>
    <v>5</v>
  </rv>
  <rv s="3">
    <fb>44677</fb>
    <v>5</v>
  </rv>
  <rv s="3">
    <fb>45041</fb>
    <v>5</v>
  </rv>
  <rv s="3">
    <fb>26.02</fb>
    <v>6</v>
  </rv>
  <rv s="3">
    <fb>43948</fb>
    <v>5</v>
  </rv>
  <rv s="3">
    <fb>44314</fb>
    <v>5</v>
  </rv>
  <rv s="3">
    <fb>39.25</fb>
    <v>6</v>
  </rv>
  <rv s="3">
    <fb>44678</fb>
    <v>5</v>
  </rv>
  <rv s="3">
    <fb>24.84</fb>
    <v>6</v>
  </rv>
  <rv s="3">
    <fb>45042</fb>
    <v>5</v>
  </rv>
  <rv s="3">
    <fb>43949</fb>
    <v>5</v>
  </rv>
  <rv s="3">
    <fb>39.28</fb>
    <v>6</v>
  </rv>
  <rv s="3">
    <fb>44315</fb>
    <v>5</v>
  </rv>
  <rv s="3">
    <fb>39.42</fb>
    <v>6</v>
  </rv>
  <rv s="3">
    <fb>44679</fb>
    <v>5</v>
  </rv>
  <rv s="3">
    <fb>45043</fb>
    <v>5</v>
  </rv>
  <rv s="3">
    <fb>43950</fb>
    <v>5</v>
  </rv>
  <rv s="3">
    <fb>39.840000000000003</fb>
    <v>6</v>
  </rv>
  <rv s="3">
    <fb>44316</fb>
    <v>5</v>
  </rv>
  <rv s="3">
    <fb>39.049999999999997</fb>
    <v>6</v>
  </rv>
  <rv s="3">
    <fb>44680</fb>
    <v>5</v>
  </rv>
  <rv s="3">
    <fb>25.44</fb>
    <v>6</v>
  </rv>
  <rv s="3">
    <fb>45044</fb>
    <v>5</v>
  </rv>
  <rv s="3">
    <fb>43951</fb>
    <v>5</v>
  </rv>
  <rv s="3">
    <fb>40.96</fb>
    <v>6</v>
  </rv>
  <rv s="3">
    <fb>44319</fb>
    <v>5</v>
  </rv>
  <rv s="3">
    <fb>44683</fb>
    <v>5</v>
  </rv>
  <rv s="3">
    <fb>45048</fb>
    <v>5</v>
  </rv>
  <rv s="3">
    <fb>43955</fb>
    <v>5</v>
  </rv>
  <rv s="3">
    <fb>38.96</fb>
    <v>6</v>
  </rv>
  <rv s="3">
    <fb>44320</fb>
    <v>5</v>
  </rv>
  <rv s="3">
    <fb>39.21</fb>
    <v>6</v>
  </rv>
  <rv s="3">
    <fb>44684</fb>
    <v>5</v>
  </rv>
  <rv s="3">
    <fb>45049</fb>
    <v>5</v>
  </rv>
  <rv s="3">
    <fb>26.14</fb>
    <v>6</v>
  </rv>
  <rv s="3">
    <fb>43956</fb>
    <v>5</v>
  </rv>
  <rv s="3">
    <fb>44321</fb>
    <v>5</v>
  </rv>
  <rv s="3">
    <fb>39.72</fb>
    <v>6</v>
  </rv>
  <rv s="3">
    <fb>44685</fb>
    <v>5</v>
  </rv>
  <rv s="3">
    <fb>45050</fb>
    <v>5</v>
  </rv>
  <rv s="3">
    <fb>43957</fb>
    <v>5</v>
  </rv>
  <rv s="3">
    <fb>44322</fb>
    <v>5</v>
  </rv>
  <rv s="3">
    <fb>39.92</fb>
    <v>6</v>
  </rv>
  <rv s="3">
    <fb>44686</fb>
    <v>5</v>
  </rv>
  <rv s="3">
    <fb>45051</fb>
    <v>5</v>
  </rv>
  <rv s="3">
    <fb>25.5</fb>
    <v>6</v>
  </rv>
  <rv s="3">
    <fb>43958</fb>
    <v>5</v>
  </rv>
  <rv s="3">
    <fb>41.66</fb>
    <v>6</v>
  </rv>
  <rv s="3">
    <fb>44323</fb>
    <v>5</v>
  </rv>
  <rv s="3">
    <fb>37.479999999999997</fb>
    <v>6</v>
  </rv>
  <rv s="3">
    <fb>44687</fb>
    <v>5</v>
  </rv>
  <rv s="3">
    <fb>25.62</fb>
    <v>6</v>
  </rv>
  <rv s="3">
    <fb>45054</fb>
    <v>5</v>
  </rv>
  <rv s="3">
    <fb>25.68</fb>
    <v>6</v>
  </rv>
  <rv s="3">
    <fb>43959</fb>
    <v>5</v>
  </rv>
  <rv s="3">
    <fb>44326</fb>
    <v>5</v>
  </rv>
  <rv s="3">
    <fb>37.81</fb>
    <v>6</v>
  </rv>
  <rv s="3">
    <fb>44690</fb>
    <v>5</v>
  </rv>
  <rv s="3">
    <fb>25.06</fb>
    <v>6</v>
  </rv>
  <rv s="3">
    <fb>45055</fb>
    <v>5</v>
  </rv>
  <rv s="3">
    <fb>25.46</fb>
    <v>6</v>
  </rv>
  <rv s="3">
    <fb>43962</fb>
    <v>5</v>
  </rv>
  <rv s="3">
    <fb>44327</fb>
    <v>5</v>
  </rv>
  <rv s="3">
    <fb>37.090000000000003</fb>
    <v>6</v>
  </rv>
  <rv s="3">
    <fb>44691</fb>
    <v>5</v>
  </rv>
  <rv s="3">
    <fb>25.36</fb>
    <v>6</v>
  </rv>
  <rv s="3">
    <fb>45056</fb>
    <v>5</v>
  </rv>
  <rv s="3">
    <fb>43963</fb>
    <v>5</v>
  </rv>
  <rv s="3">
    <fb>41.02</fb>
    <v>6</v>
  </rv>
  <rv s="3">
    <fb>44328</fb>
    <v>5</v>
  </rv>
  <rv s="3">
    <fb>38.520000000000003</fb>
    <v>6</v>
  </rv>
  <rv s="3">
    <fb>44692</fb>
    <v>5</v>
  </rv>
  <rv s="3">
    <fb>45057</fb>
    <v>5</v>
  </rv>
  <rv s="3">
    <fb>43964</fb>
    <v>5</v>
  </rv>
  <rv s="3">
    <fb>44329</fb>
    <v>5</v>
  </rv>
  <rv s="3">
    <fb>38.39</fb>
    <v>6</v>
  </rv>
  <rv s="3">
    <fb>44693</fb>
    <v>5</v>
  </rv>
  <rv s="3">
    <fb>25.81</fb>
    <v>6</v>
  </rv>
  <rv s="3">
    <fb>45058</fb>
    <v>5</v>
  </rv>
  <rv s="3">
    <fb>25.78</fb>
    <v>6</v>
  </rv>
  <rv s="3">
    <fb>43965</fb>
    <v>5</v>
  </rv>
  <rv s="3">
    <fb>39.54</fb>
    <v>6</v>
  </rv>
  <rv s="3">
    <fb>44330</fb>
    <v>5</v>
  </rv>
  <rv s="3">
    <fb>38.81</fb>
    <v>6</v>
  </rv>
  <rv s="3">
    <fb>44694</fb>
    <v>5</v>
  </rv>
  <rv s="3">
    <fb>45061</fb>
    <v>5</v>
  </rv>
  <rv s="3">
    <fb>43966</fb>
    <v>5</v>
  </rv>
  <rv s="3">
    <fb>44333</fb>
    <v>5</v>
  </rv>
  <rv s="3">
    <fb>39.06</fb>
    <v>6</v>
  </rv>
  <rv s="3">
    <fb>44697</fb>
    <v>5</v>
  </rv>
  <rv s="3">
    <fb>45062</fb>
    <v>5</v>
  </rv>
  <rv s="3">
    <fb>43969</fb>
    <v>5</v>
  </rv>
  <rv s="3">
    <fb>43.1</fb>
    <v>6</v>
  </rv>
  <rv s="3">
    <fb>44334</fb>
    <v>5</v>
  </rv>
  <rv s="3">
    <fb>39.17</fb>
    <v>6</v>
  </rv>
  <rv s="3">
    <fb>44698</fb>
    <v>5</v>
  </rv>
  <rv s="3">
    <fb>45063</fb>
    <v>5</v>
  </rv>
  <rv s="3">
    <fb>25.76</fb>
    <v>6</v>
  </rv>
  <rv s="3">
    <fb>43970</fb>
    <v>5</v>
  </rv>
  <rv s="3">
    <fb>41.9</fb>
    <v>6</v>
  </rv>
  <rv s="3">
    <fb>44335</fb>
    <v>5</v>
  </rv>
  <rv s="3">
    <fb>38.880000000000003</fb>
    <v>6</v>
  </rv>
  <rv s="3">
    <fb>44699</fb>
    <v>5</v>
  </rv>
  <rv s="3">
    <fb>45064</fb>
    <v>5</v>
  </rv>
  <rv s="3">
    <fb>43971</fb>
    <v>5</v>
  </rv>
  <rv s="3">
    <fb>42.34</fb>
    <v>6</v>
  </rv>
  <rv s="3">
    <fb>44337</fb>
    <v>5</v>
  </rv>
  <rv s="3">
    <fb>39.03</fb>
    <v>6</v>
  </rv>
  <rv s="3">
    <fb>44700</fb>
    <v>5</v>
  </rv>
  <rv s="3">
    <fb>45065</fb>
    <v>5</v>
  </rv>
  <rv s="3">
    <fb>43972</fb>
    <v>5</v>
  </rv>
  <rv s="3">
    <fb>41.84</fb>
    <v>6</v>
  </rv>
  <rv s="3">
    <fb>44340</fb>
    <v>5</v>
  </rv>
  <rv s="3">
    <fb>44701</fb>
    <v>5</v>
  </rv>
  <rv s="3">
    <fb>45068</fb>
    <v>5</v>
  </rv>
  <rv s="3">
    <fb>43973</fb>
    <v>5</v>
  </rv>
  <rv s="3">
    <fb>42.18</fb>
    <v>6</v>
  </rv>
  <rv s="3">
    <fb>44341</fb>
    <v>5</v>
  </rv>
  <rv s="3">
    <fb>38.549999999999997</fb>
    <v>6</v>
  </rv>
  <rv s="3">
    <fb>44704</fb>
    <v>5</v>
  </rv>
  <rv s="3">
    <fb>27.65</fb>
    <v>6</v>
  </rv>
  <rv s="3">
    <fb>45069</fb>
    <v>5</v>
  </rv>
  <rv s="3">
    <fb>43976</fb>
    <v>5</v>
  </rv>
  <rv s="3">
    <fb>43.02</fb>
    <v>6</v>
  </rv>
  <rv s="3">
    <fb>44342</fb>
    <v>5</v>
  </rv>
  <rv s="3">
    <fb>38.659999999999997</fb>
    <v>6</v>
  </rv>
  <rv s="3">
    <fb>44705</fb>
    <v>5</v>
  </rv>
  <rv s="3">
    <fb>26.38</fb>
    <v>6</v>
  </rv>
  <rv s="3">
    <fb>45070</fb>
    <v>5</v>
  </rv>
  <rv s="3">
    <fb>43977</fb>
    <v>5</v>
  </rv>
  <rv s="3">
    <fb>43.78</fb>
    <v>6</v>
  </rv>
  <rv s="3">
    <fb>44343</fb>
    <v>5</v>
  </rv>
  <rv s="3">
    <fb>44706</fb>
    <v>5</v>
  </rv>
  <rv s="3">
    <fb>26.99</fb>
    <v>6</v>
  </rv>
  <rv s="3">
    <fb>45071</fb>
    <v>5</v>
  </rv>
  <rv s="3">
    <fb>25.56</fb>
    <v>6</v>
  </rv>
  <rv s="3">
    <fb>43978</fb>
    <v>5</v>
  </rv>
  <rv s="3">
    <fb>44.72</fb>
    <v>6</v>
  </rv>
  <rv s="3">
    <fb>44344</fb>
    <v>5</v>
  </rv>
  <rv s="3">
    <fb>44707</fb>
    <v>5</v>
  </rv>
  <rv s="3">
    <fb>27.31</fb>
    <v>6</v>
  </rv>
  <rv s="3">
    <fb>45072</fb>
    <v>5</v>
  </rv>
  <rv s="3">
    <fb>43979</fb>
    <v>5</v>
  </rv>
  <rv s="3">
    <fb>44.14</fb>
    <v>6</v>
  </rv>
  <rv s="3">
    <fb>44347</fb>
    <v>5</v>
  </rv>
  <rv s="3">
    <fb>39.549999999999997</fb>
    <v>6</v>
  </rv>
  <rv s="3">
    <fb>44708</fb>
    <v>5</v>
  </rv>
  <rv s="3">
    <fb>27.3</fb>
    <v>6</v>
  </rv>
  <rv s="3">
    <fb>45075</fb>
    <v>5</v>
  </rv>
  <rv s="3">
    <fb>43980</fb>
    <v>5</v>
  </rv>
  <rv s="3">
    <fb>42.9</fb>
    <v>6</v>
  </rv>
  <rv s="3">
    <fb>44348</fb>
    <v>5</v>
  </rv>
  <rv s="3">
    <fb>40.270000000000003</fb>
    <v>6</v>
  </rv>
  <rv s="3">
    <fb>44711</fb>
    <v>5</v>
  </rv>
  <rv s="3">
    <fb>27.44</fb>
    <v>6</v>
  </rv>
  <rv s="3">
    <fb>45076</fb>
    <v>5</v>
  </rv>
  <rv s="3">
    <fb>43983</fb>
    <v>5</v>
  </rv>
  <rv s="3">
    <fb>44349</fb>
    <v>5</v>
  </rv>
  <rv s="3">
    <fb>44712</fb>
    <v>5</v>
  </rv>
  <rv s="3">
    <fb>28.2</fb>
    <v>6</v>
  </rv>
  <rv s="3">
    <fb>45077</fb>
    <v>5</v>
  </rv>
  <rv s="3">
    <fb>43984</fb>
    <v>5</v>
  </rv>
  <rv s="3">
    <fb>44.66</fb>
    <v>6</v>
  </rv>
  <rv s="3">
    <fb>44350</fb>
    <v>5</v>
  </rv>
  <rv s="3">
    <fb>44713</fb>
    <v>5</v>
  </rv>
  <rv s="3">
    <fb>28.02</fb>
    <v>6</v>
  </rv>
  <rv s="3">
    <fb>45078</fb>
    <v>5</v>
  </rv>
  <rv s="3">
    <fb>43985</fb>
    <v>5</v>
  </rv>
  <rv s="3">
    <fb>45.78</fb>
    <v>6</v>
  </rv>
  <rv s="3">
    <fb>44351</fb>
    <v>5</v>
  </rv>
  <rv s="3">
    <fb>41.47</fb>
    <v>6</v>
  </rv>
  <rv s="3">
    <fb>44714</fb>
    <v>5</v>
  </rv>
  <rv s="3">
    <fb>28.64</fb>
    <v>6</v>
  </rv>
  <rv s="3">
    <fb>45079</fb>
    <v>5</v>
  </rv>
  <rv s="3">
    <fb>26.34</fb>
    <v>6</v>
  </rv>
  <rv s="3">
    <fb>43986</fb>
    <v>5</v>
  </rv>
  <rv s="3">
    <fb>45.3</fb>
    <v>6</v>
  </rv>
  <rv s="3">
    <fb>44354</fb>
    <v>5</v>
  </rv>
  <rv s="3">
    <fb>41.38</fb>
    <v>6</v>
  </rv>
  <rv s="3">
    <fb>44715</fb>
    <v>5</v>
  </rv>
  <rv s="3">
    <fb>28.84</fb>
    <v>6</v>
  </rv>
  <rv s="3">
    <fb>45082</fb>
    <v>5</v>
  </rv>
  <rv s="3">
    <fb>26.48</fb>
    <v>6</v>
  </rv>
  <rv s="3">
    <fb>43987</fb>
    <v>5</v>
  </rv>
  <rv s="3">
    <fb>46.04</fb>
    <v>6</v>
  </rv>
  <rv s="3">
    <fb>44355</fb>
    <v>5</v>
  </rv>
  <rv s="3">
    <fb>41.3</fb>
    <v>6</v>
  </rv>
  <rv s="3">
    <fb>44718</fb>
    <v>5</v>
  </rv>
  <rv s="3">
    <fb>28.76</fb>
    <v>6</v>
  </rv>
  <rv s="3">
    <fb>45083</fb>
    <v>5</v>
  </rv>
  <rv s="3">
    <fb>26.64</fb>
    <v>6</v>
  </rv>
  <rv s="3">
    <fb>43990</fb>
    <v>5</v>
  </rv>
  <rv s="3">
    <fb>46.78</fb>
    <v>6</v>
  </rv>
  <rv s="3">
    <fb>44356</fb>
    <v>5</v>
  </rv>
  <rv s="3">
    <fb>41.2</fb>
    <v>6</v>
  </rv>
  <rv s="3">
    <fb>44719</fb>
    <v>5</v>
  </rv>
  <rv s="3">
    <fb>45084</fb>
    <v>5</v>
  </rv>
  <rv s="3">
    <fb>26.62</fb>
    <v>6</v>
  </rv>
  <rv s="3">
    <fb>43991</fb>
    <v>5</v>
  </rv>
  <rv s="3">
    <fb>44357</fb>
    <v>5</v>
  </rv>
  <rv s="3">
    <fb>41.69</fb>
    <v>6</v>
  </rv>
  <rv s="3">
    <fb>44720</fb>
    <v>5</v>
  </rv>
  <rv s="3">
    <fb>45085</fb>
    <v>5</v>
  </rv>
  <rv s="3">
    <fb>26.82</fb>
    <v>6</v>
  </rv>
  <rv s="3">
    <fb>43992</fb>
    <v>5</v>
  </rv>
  <rv s="3">
    <fb>45.56</fb>
    <v>6</v>
  </rv>
  <rv s="3">
    <fb>44358</fb>
    <v>5</v>
  </rv>
  <rv s="3">
    <fb>42.12</fb>
    <v>6</v>
  </rv>
  <rv s="3">
    <fb>44721</fb>
    <v>5</v>
  </rv>
  <rv s="3">
    <fb>45086</fb>
    <v>5</v>
  </rv>
  <rv s="3">
    <fb>43993</fb>
    <v>5</v>
  </rv>
  <rv s="3">
    <fb>43.58</fb>
    <v>6</v>
  </rv>
  <rv s="3">
    <fb>44361</fb>
    <v>5</v>
  </rv>
  <rv s="3">
    <fb>42.22</fb>
    <v>6</v>
  </rv>
  <rv s="3">
    <fb>44722</fb>
    <v>5</v>
  </rv>
  <rv s="3">
    <fb>45089</fb>
    <v>5</v>
  </rv>
  <rv s="3">
    <fb>26.6</fb>
    <v>6</v>
  </rv>
  <rv s="3">
    <fb>43994</fb>
    <v>5</v>
  </rv>
  <rv s="3">
    <fb>44.26</fb>
    <v>6</v>
  </rv>
  <rv s="3">
    <fb>44362</fb>
    <v>5</v>
  </rv>
  <rv s="3">
    <fb>44725</fb>
    <v>5</v>
  </rv>
  <rv s="3">
    <fb>45090</fb>
    <v>5</v>
  </rv>
  <rv s="3">
    <fb>43997</fb>
    <v>5</v>
  </rv>
  <rv s="3">
    <fb>44.36</fb>
    <v>6</v>
  </rv>
  <rv s="3">
    <fb>44363</fb>
    <v>5</v>
  </rv>
  <rv s="3">
    <fb>44726</fb>
    <v>5</v>
  </rv>
  <rv s="3">
    <fb>24.25</fb>
    <v>6</v>
  </rv>
  <rv s="3">
    <fb>45091</fb>
    <v>5</v>
  </rv>
  <rv s="3">
    <fb>24.94</fb>
    <v>6</v>
  </rv>
  <rv s="3">
    <fb>43998</fb>
    <v>5</v>
  </rv>
  <rv s="3">
    <fb>45.68</fb>
    <v>6</v>
  </rv>
  <rv s="3">
    <fb>44364</fb>
    <v>5</v>
  </rv>
  <rv s="3">
    <fb>39.15</fb>
    <v>6</v>
  </rv>
  <rv s="3">
    <fb>44727</fb>
    <v>5</v>
  </rv>
  <rv s="3">
    <fb>45092</fb>
    <v>5</v>
  </rv>
  <rv s="3">
    <fb>23.88</fb>
    <v>6</v>
  </rv>
  <rv s="3">
    <fb>43999</fb>
    <v>5</v>
  </rv>
  <rv s="3">
    <fb>43.94</fb>
    <v>6</v>
  </rv>
  <rv s="3">
    <fb>44365</fb>
    <v>5</v>
  </rv>
  <rv s="3">
    <fb>38.64</fb>
    <v>6</v>
  </rv>
  <rv s="3">
    <fb>44728</fb>
    <v>5</v>
  </rv>
  <rv s="3">
    <fb>22.66</fb>
    <v>6</v>
  </rv>
  <rv s="3">
    <fb>45093</fb>
    <v>5</v>
  </rv>
  <rv s="3">
    <fb>23.86</fb>
    <v>6</v>
  </rv>
  <rv s="3">
    <fb>44000</fb>
    <v>5</v>
  </rv>
  <rv s="3">
    <fb>44.5</fb>
    <v>6</v>
  </rv>
  <rv s="3">
    <fb>44368</fb>
    <v>5</v>
  </rv>
  <rv s="3">
    <fb>38.29</fb>
    <v>6</v>
  </rv>
  <rv s="3">
    <fb>44729</fb>
    <v>5</v>
  </rv>
  <rv s="3">
    <fb>22.53</fb>
    <v>6</v>
  </rv>
  <rv s="3">
    <fb>45096</fb>
    <v>5</v>
  </rv>
  <rv s="3">
    <fb>23.56</fb>
    <v>6</v>
  </rv>
  <rv s="3">
    <fb>44001</fb>
    <v>5</v>
  </rv>
  <rv s="3">
    <fb>45.24</fb>
    <v>6</v>
  </rv>
  <rv s="3">
    <fb>44369</fb>
    <v>5</v>
  </rv>
  <rv s="3">
    <fb>38.049999999999997</fb>
    <v>6</v>
  </rv>
  <rv s="3">
    <fb>44732</fb>
    <v>5</v>
  </rv>
  <rv s="3">
    <fb>22.81</fb>
    <v>6</v>
  </rv>
  <rv s="3">
    <fb>45097</fb>
    <v>5</v>
  </rv>
  <rv s="3">
    <fb>23.16</fb>
    <v>6</v>
  </rv>
  <rv s="3">
    <fb>44004</fb>
    <v>5</v>
  </rv>
  <rv s="3">
    <fb>43.84</fb>
    <v>6</v>
  </rv>
  <rv s="3">
    <fb>44370</fb>
    <v>5</v>
  </rv>
  <rv s="3">
    <fb>37.86</fb>
    <v>6</v>
  </rv>
  <rv s="3">
    <fb>44733</fb>
    <v>5</v>
  </rv>
  <rv s="3">
    <fb>45098</fb>
    <v>5</v>
  </rv>
  <rv s="3">
    <fb>23.08</fb>
    <v>6</v>
  </rv>
  <rv s="3">
    <fb>44005</fb>
    <v>5</v>
  </rv>
  <rv s="3">
    <fb>43.7</fb>
    <v>6</v>
  </rv>
  <rv s="3">
    <fb>44371</fb>
    <v>5</v>
  </rv>
  <rv s="3">
    <fb>38.17</fb>
    <v>6</v>
  </rv>
  <rv s="3">
    <fb>44734</fb>
    <v>5</v>
  </rv>
  <rv s="3">
    <fb>23.1</fb>
    <v>6</v>
  </rv>
  <rv s="3">
    <fb>45099</fb>
    <v>5</v>
  </rv>
  <rv s="3">
    <fb>22.58</fb>
    <v>6</v>
  </rv>
  <rv s="3">
    <fb>44006</fb>
    <v>5</v>
  </rv>
  <rv s="3">
    <fb>42.16</fb>
    <v>6</v>
  </rv>
  <rv s="3">
    <fb>44372</fb>
    <v>5</v>
  </rv>
  <rv s="3">
    <fb>44735</fb>
    <v>5</v>
  </rv>
  <rv s="3">
    <fb>22.04</fb>
    <v>6</v>
  </rv>
  <rv s="3">
    <fb>45100</fb>
    <v>5</v>
  </rv>
  <rv s="3">
    <fb>22.54</fb>
    <v>6</v>
  </rv>
  <rv s="3">
    <fb>44007</fb>
    <v>5</v>
  </rv>
  <rv s="3">
    <fb>44375</fb>
    <v>5</v>
  </rv>
  <rv s="3">
    <fb>38.119999999999997</fb>
    <v>6</v>
  </rv>
  <rv s="3">
    <fb>44736</fb>
    <v>5</v>
  </rv>
  <rv s="3">
    <fb>22.28</fb>
    <v>6</v>
  </rv>
  <rv s="3">
    <fb>45103</fb>
    <v>5</v>
  </rv>
  <rv s="3">
    <fb>22.02</fb>
    <v>6</v>
  </rv>
  <rv s="3">
    <fb>44008</fb>
    <v>5</v>
  </rv>
  <rv s="3">
    <fb>44376</fb>
    <v>5</v>
  </rv>
  <rv s="3">
    <fb>37.5</fb>
    <v>6</v>
  </rv>
  <rv s="3">
    <fb>44739</fb>
    <v>5</v>
  </rv>
  <rv s="3">
    <fb>22.57</fb>
    <v>6</v>
  </rv>
  <rv s="3">
    <fb>45104</fb>
    <v>5</v>
  </rv>
  <rv s="3">
    <fb>22.12</fb>
    <v>6</v>
  </rv>
  <rv s="3">
    <fb>44011</fb>
    <v>5</v>
  </rv>
  <rv s="3">
    <fb>42.64</fb>
    <v>6</v>
  </rv>
  <rv s="3">
    <fb>44377</fb>
    <v>5</v>
  </rv>
  <rv s="3">
    <fb>37.49</fb>
    <v>6</v>
  </rv>
  <rv s="3">
    <fb>44740</fb>
    <v>5</v>
  </rv>
  <rv s="3">
    <fb>23.31</fb>
    <v>6</v>
  </rv>
  <rv s="3">
    <fb>45105</fb>
    <v>5</v>
  </rv>
  <rv s="3">
    <fb>22.36</fb>
    <v>6</v>
  </rv>
  <rv s="3">
    <fb>44012</fb>
    <v>5</v>
  </rv>
  <rv s="3">
    <fb>42.78</fb>
    <v>6</v>
  </rv>
  <rv s="3">
    <fb>44378</fb>
    <v>5</v>
  </rv>
  <rv s="3">
    <fb>37.44</fb>
    <v>6</v>
  </rv>
  <rv s="3">
    <fb>44741</fb>
    <v>5</v>
  </rv>
  <rv s="3">
    <fb>22.92</fb>
    <v>6</v>
  </rv>
  <rv s="3">
    <fb>45106</fb>
    <v>5</v>
  </rv>
  <rv s="3">
    <fb>22.18</fb>
    <v>6</v>
  </rv>
  <rv s="3">
    <fb>44013</fb>
    <v>5</v>
  </rv>
  <rv s="3">
    <fb>43.3</fb>
    <v>6</v>
  </rv>
  <rv s="3">
    <fb>44379</fb>
    <v>5</v>
  </rv>
  <rv s="3">
    <fb>37.270000000000003</fb>
    <v>6</v>
  </rv>
  <rv s="3">
    <fb>44742</fb>
    <v>5</v>
  </rv>
  <rv s="3">
    <fb>45107</fb>
    <v>5</v>
  </rv>
  <rv s="3">
    <fb>22.24</fb>
    <v>6</v>
  </rv>
  <rv s="3">
    <fb>44014</fb>
    <v>5</v>
  </rv>
  <rv s="3">
    <fb>43.52</fb>
    <v>6</v>
  </rv>
  <rv s="3">
    <fb>44382</fb>
    <v>5</v>
  </rv>
  <rv s="3">
    <fb>37.33</fb>
    <v>6</v>
  </rv>
  <rv s="3">
    <fb>44743</fb>
    <v>5</v>
  </rv>
  <rv s="3">
    <fb>22.32</fb>
    <v>6</v>
  </rv>
  <rv s="3">
    <fb>45110</fb>
    <v>5</v>
  </rv>
  <rv s="3">
    <fb>22.56</fb>
    <v>6</v>
  </rv>
  <rv s="3">
    <fb>44015</fb>
    <v>5</v>
  </rv>
  <rv s="3">
    <fb>42.96</fb>
    <v>6</v>
  </rv>
  <rv s="3">
    <fb>44383</fb>
    <v>5</v>
  </rv>
  <rv s="3">
    <fb>36.770000000000003</fb>
    <v>6</v>
  </rv>
  <rv s="3">
    <fb>44746</fb>
    <v>5</v>
  </rv>
  <rv s="3">
    <fb>45111</fb>
    <v>5</v>
  </rv>
  <rv s="3">
    <fb>22.3</fb>
    <v>6</v>
  </rv>
  <rv s="3">
    <fb>44018</fb>
    <v>5</v>
  </rv>
  <rv s="3">
    <fb>44.02</fb>
    <v>6</v>
  </rv>
  <rv s="3">
    <fb>44384</fb>
    <v>5</v>
  </rv>
  <rv s="3">
    <fb>36.200000000000003</fb>
    <v>6</v>
  </rv>
  <rv s="3">
    <fb>44747</fb>
    <v>5</v>
  </rv>
  <rv s="3">
    <fb>21.74</fb>
    <v>6</v>
  </rv>
  <rv s="3">
    <fb>45112</fb>
    <v>5</v>
  </rv>
  <rv s="3">
    <fb>22.1</fb>
    <v>6</v>
  </rv>
  <rv s="3">
    <fb>44019</fb>
    <v>5</v>
  </rv>
  <rv s="3">
    <fb>43.06</fb>
    <v>6</v>
  </rv>
  <rv s="3">
    <fb>44385</fb>
    <v>5</v>
  </rv>
  <rv s="3">
    <fb>36</fb>
    <v>6</v>
  </rv>
  <rv s="3">
    <fb>44748</fb>
    <v>5</v>
  </rv>
  <rv s="3">
    <fb>45113</fb>
    <v>5</v>
  </rv>
  <rv s="3">
    <fb>21.54</fb>
    <v>6</v>
  </rv>
  <rv s="3">
    <fb>44020</fb>
    <v>5</v>
  </rv>
  <rv s="3">
    <fb>44386</fb>
    <v>5</v>
  </rv>
  <rv s="3">
    <fb>36.14</fb>
    <v>6</v>
  </rv>
  <rv s="3">
    <fb>44749</fb>
    <v>5</v>
  </rv>
  <rv s="3">
    <fb>22.7</fb>
    <v>6</v>
  </rv>
  <rv s="3">
    <fb>45114</fb>
    <v>5</v>
  </rv>
  <rv s="3">
    <fb>21.66</fb>
    <v>6</v>
  </rv>
  <rv s="3">
    <fb>44021</fb>
    <v>5</v>
  </rv>
  <rv s="3">
    <fb>44389</fb>
    <v>5</v>
  </rv>
  <rv s="3">
    <fb>36.6</fb>
    <v>6</v>
  </rv>
  <rv s="3">
    <fb>44750</fb>
    <v>5</v>
  </rv>
  <rv s="3">
    <fb>22.78</fb>
    <v>6</v>
  </rv>
  <rv s="3">
    <fb>45117</fb>
    <v>5</v>
  </rv>
  <rv s="3">
    <fb>21.56</fb>
    <v>6</v>
  </rv>
  <rv s="3">
    <fb>44022</fb>
    <v>5</v>
  </rv>
  <rv s="3">
    <fb>44390</fb>
    <v>5</v>
  </rv>
  <rv s="3">
    <fb>36.32</fb>
    <v>6</v>
  </rv>
  <rv s="3">
    <fb>44753</fb>
    <v>5</v>
  </rv>
  <rv s="3">
    <fb>22.4</fb>
    <v>6</v>
  </rv>
  <rv s="3">
    <fb>45118</fb>
    <v>5</v>
  </rv>
  <rv s="3">
    <fb>21.9</fb>
    <v>6</v>
  </rv>
  <rv s="3">
    <fb>44025</fb>
    <v>5</v>
  </rv>
  <rv s="3">
    <fb>40.98</fb>
    <v>6</v>
  </rv>
  <rv s="3">
    <fb>44391</fb>
    <v>5</v>
  </rv>
  <rv s="3">
    <fb>36.31</fb>
    <v>6</v>
  </rv>
  <rv s="3">
    <fb>44754</fb>
    <v>5</v>
  </rv>
  <rv s="3">
    <fb>22.46</fb>
    <v>6</v>
  </rv>
  <rv s="3">
    <fb>45119</fb>
    <v>5</v>
  </rv>
  <rv s="3">
    <fb>44026</fb>
    <v>5</v>
  </rv>
  <rv s="3">
    <fb>40.56</fb>
    <v>6</v>
  </rv>
  <rv s="3">
    <fb>44392</fb>
    <v>5</v>
  </rv>
  <rv s="3">
    <fb>35.94</fb>
    <v>6</v>
  </rv>
  <rv s="3">
    <fb>44755</fb>
    <v>5</v>
  </rv>
  <rv s="3">
    <fb>22.44</fb>
    <v>6</v>
  </rv>
  <rv s="3">
    <fb>45120</fb>
    <v>5</v>
  </rv>
  <rv s="3">
    <fb>44027</fb>
    <v>5</v>
  </rv>
  <rv s="3">
    <fb>44393</fb>
    <v>5</v>
  </rv>
  <rv s="3">
    <fb>36.049999999999997</fb>
    <v>6</v>
  </rv>
  <rv s="3">
    <fb>44756</fb>
    <v>5</v>
  </rv>
  <rv s="3">
    <fb>21.78</fb>
    <v>6</v>
  </rv>
  <rv s="3">
    <fb>45121</fb>
    <v>5</v>
  </rv>
  <rv s="3">
    <fb>22.06</fb>
    <v>6</v>
  </rv>
  <rv s="3">
    <fb>44028</fb>
    <v>5</v>
  </rv>
  <rv s="3">
    <fb>44396</fb>
    <v>5</v>
  </rv>
  <rv s="3">
    <fb>34.5</fb>
    <v>6</v>
  </rv>
  <rv s="3">
    <fb>44757</fb>
    <v>5</v>
  </rv>
  <rv s="3">
    <fb>22.19</fb>
    <v>6</v>
  </rv>
  <rv s="3">
    <fb>45124</fb>
    <v>5</v>
  </rv>
  <rv s="3">
    <fb>44029</fb>
    <v>5</v>
  </rv>
  <rv s="3">
    <fb>44397</fb>
    <v>5</v>
  </rv>
  <rv s="3">
    <fb>33.61</fb>
    <v>6</v>
  </rv>
  <rv s="3">
    <fb>44760</fb>
    <v>5</v>
  </rv>
  <rv s="3">
    <fb>22.83</fb>
    <v>6</v>
  </rv>
  <rv s="3">
    <fb>45125</fb>
    <v>5</v>
  </rv>
  <rv s="3">
    <fb>44032</fb>
    <v>5</v>
  </rv>
  <rv s="3">
    <fb>44398</fb>
    <v>5</v>
  </rv>
  <rv s="3">
    <fb>33.840000000000003</fb>
    <v>6</v>
  </rv>
  <rv s="3">
    <fb>44761</fb>
    <v>5</v>
  </rv>
  <rv s="3">
    <fb>23.27</fb>
    <v>6</v>
  </rv>
  <rv s="3">
    <fb>45126</fb>
    <v>5</v>
  </rv>
  <rv s="3">
    <fb>22.26</fb>
    <v>6</v>
  </rv>
  <rv s="3">
    <fb>44033</fb>
    <v>5</v>
  </rv>
  <rv s="3">
    <fb>40.86</fb>
    <v>6</v>
  </rv>
  <rv s="3">
    <fb>44399</fb>
    <v>5</v>
  </rv>
  <rv s="3">
    <fb>33.49</fb>
    <v>6</v>
  </rv>
  <rv s="3">
    <fb>44762</fb>
    <v>5</v>
  </rv>
  <rv s="3">
    <fb>23.17</fb>
    <v>6</v>
  </rv>
  <rv s="3">
    <fb>45127</fb>
    <v>5</v>
  </rv>
  <rv s="3">
    <fb>44034</fb>
    <v>5</v>
  </rv>
  <rv s="3">
    <fb>44400</fb>
    <v>5</v>
  </rv>
  <rv s="3">
    <fb>33.39</fb>
    <v>6</v>
  </rv>
  <rv s="3">
    <fb>44763</fb>
    <v>5</v>
  </rv>
  <rv s="3">
    <fb>22.61</fb>
    <v>6</v>
  </rv>
  <rv s="3">
    <fb>45128</fb>
    <v>5</v>
  </rv>
  <rv s="3">
    <fb>22.14</fb>
    <v>6</v>
  </rv>
  <rv s="3">
    <fb>44035</fb>
    <v>5</v>
  </rv>
  <rv s="3">
    <fb>44403</fb>
    <v>5</v>
  </rv>
  <rv s="3">
    <fb>34.229999999999997</fb>
    <v>6</v>
  </rv>
  <rv s="3">
    <fb>44764</fb>
    <v>5</v>
  </rv>
  <rv s="3">
    <fb>22.73</fb>
    <v>6</v>
  </rv>
  <rv s="3">
    <fb>45131</fb>
    <v>5</v>
  </rv>
  <rv s="3">
    <fb>44036</fb>
    <v>5</v>
  </rv>
  <rv s="3">
    <fb>44404</fb>
    <v>5</v>
  </rv>
  <rv s="3">
    <fb>34.22</fb>
    <v>6</v>
  </rv>
  <rv s="3">
    <fb>44767</fb>
    <v>5</v>
  </rv>
  <rv s="3">
    <fb>45132</fb>
    <v>5</v>
  </rv>
  <rv s="3">
    <fb>22.52</fb>
    <v>6</v>
  </rv>
  <rv s="3">
    <fb>44039</fb>
    <v>5</v>
  </rv>
  <rv s="3">
    <fb>44405</fb>
    <v>5</v>
  </rv>
  <rv s="3">
    <fb>33.869999999999997</fb>
    <v>6</v>
  </rv>
  <rv s="3">
    <fb>44768</fb>
    <v>5</v>
  </rv>
  <rv s="3">
    <fb>22.87</fb>
    <v>6</v>
  </rv>
  <rv s="3">
    <fb>45133</fb>
    <v>5</v>
  </rv>
  <rv s="3">
    <fb>44040</fb>
    <v>5</v>
  </rv>
  <rv s="3">
    <fb>44406</fb>
    <v>5</v>
  </rv>
  <rv s="3">
    <fb>34</fb>
    <v>6</v>
  </rv>
  <rv s="3">
    <fb>44769</fb>
    <v>5</v>
  </rv>
  <rv s="3">
    <fb>23.21</fb>
    <v>6</v>
  </rv>
  <rv s="3">
    <fb>45134</fb>
    <v>5</v>
  </rv>
  <rv s="3">
    <fb>44041</fb>
    <v>5</v>
  </rv>
  <rv s="3">
    <fb>40.32</fb>
    <v>6</v>
  </rv>
  <rv s="3">
    <fb>44407</fb>
    <v>5</v>
  </rv>
  <rv s="3">
    <fb>33.82</fb>
    <v>6</v>
  </rv>
  <rv s="3">
    <fb>44770</fb>
    <v>5</v>
  </rv>
  <rv s="3">
    <fb>45135</fb>
    <v>5</v>
  </rv>
  <rv s="3">
    <fb>44042</fb>
    <v>5</v>
  </rv>
  <rv s="3">
    <fb>39.6</fb>
    <v>6</v>
  </rv>
  <rv s="3">
    <fb>44410</fb>
    <v>5</v>
  </rv>
  <rv s="3">
    <fb>33.57</fb>
    <v>6</v>
  </rv>
  <rv s="3">
    <fb>44771</fb>
    <v>5</v>
  </rv>
  <rv s="3">
    <fb>23.79</fb>
    <v>6</v>
  </rv>
  <rv s="3">
    <fb>45138</fb>
    <v>5</v>
  </rv>
  <rv s="3">
    <fb>22.42</fb>
    <v>6</v>
  </rv>
  <rv s="3">
    <fb>44043</fb>
    <v>5</v>
  </rv>
  <rv s="3">
    <fb>44411</fb>
    <v>5</v>
  </rv>
  <rv s="3">
    <fb>44774</fb>
    <v>5</v>
  </rv>
  <rv s="3">
    <fb>23.76</fb>
    <v>6</v>
  </rv>
  <rv s="3">
    <fb>45139</fb>
    <v>5</v>
  </rv>
  <rv s="3">
    <fb>44046</fb>
    <v>5</v>
  </rv>
  <rv s="3">
    <fb>40.26</fb>
    <v>6</v>
  </rv>
  <rv s="3">
    <fb>44412</fb>
    <v>5</v>
  </rv>
  <rv s="3">
    <fb>33.159999999999997</fb>
    <v>6</v>
  </rv>
  <rv s="3">
    <fb>44775</fb>
    <v>5</v>
  </rv>
  <rv s="3">
    <fb>23.59</fb>
    <v>6</v>
  </rv>
  <rv s="3">
    <fb>45140</fb>
    <v>5</v>
  </rv>
  <rv s="3">
    <fb>21.5</fb>
    <v>6</v>
  </rv>
  <rv s="3">
    <fb>44047</fb>
    <v>5</v>
  </rv>
  <rv s="3">
    <fb>40.14</fb>
    <v>6</v>
  </rv>
  <rv s="3">
    <fb>44413</fb>
    <v>5</v>
  </rv>
  <rv s="3">
    <fb>33.33</fb>
    <v>6</v>
  </rv>
  <rv s="3">
    <fb>44776</fb>
    <v>5</v>
  </rv>
  <rv s="3">
    <fb>23.48</fb>
    <v>6</v>
  </rv>
  <rv s="3">
    <fb>45141</fb>
    <v>5</v>
  </rv>
  <rv s="3">
    <fb>21.36</fb>
    <v>6</v>
  </rv>
  <rv s="3">
    <fb>44048</fb>
    <v>5</v>
  </rv>
  <rv s="3">
    <fb>44414</fb>
    <v>5</v>
  </rv>
  <rv s="3">
    <fb>33.6</fb>
    <v>6</v>
  </rv>
  <rv s="3">
    <fb>44777</fb>
    <v>5</v>
  </rv>
  <rv s="3">
    <fb>23.3</fb>
    <v>6</v>
  </rv>
  <rv s="3">
    <fb>45142</fb>
    <v>5</v>
  </rv>
  <rv s="3">
    <fb>44049</fb>
    <v>5</v>
  </rv>
  <rv s="3">
    <fb>40.159999999999997</fb>
    <v>6</v>
  </rv>
  <rv s="3">
    <fb>44417</fb>
    <v>5</v>
  </rv>
  <rv s="3">
    <fb>33.69</fb>
    <v>6</v>
  </rv>
  <rv s="3">
    <fb>44778</fb>
    <v>5</v>
  </rv>
  <rv s="3">
    <fb>23.23</fb>
    <v>6</v>
  </rv>
  <rv s="3">
    <fb>45145</fb>
    <v>5</v>
  </rv>
  <rv s="3">
    <fb>21.3</fb>
    <v>6</v>
  </rv>
  <rv s="3">
    <fb>44050</fb>
    <v>5</v>
  </rv>
  <rv s="3">
    <fb>44418</fb>
    <v>5</v>
  </rv>
  <rv s="3">
    <fb>33.78</fb>
    <v>6</v>
  </rv>
  <rv s="3">
    <fb>44781</fb>
    <v>5</v>
  </rv>
  <rv s="3">
    <fb>23.44</fb>
    <v>6</v>
  </rv>
  <rv s="3">
    <fb>45146</fb>
    <v>5</v>
  </rv>
  <rv s="3">
    <fb>21.24</fb>
    <v>6</v>
  </rv>
  <rv s="3">
    <fb>44053</fb>
    <v>5</v>
  </rv>
  <rv s="3">
    <fb>40.020000000000003</fb>
    <v>6</v>
  </rv>
  <rv s="3">
    <fb>44419</fb>
    <v>5</v>
  </rv>
  <rv s="3">
    <fb>33.99</fb>
    <v>6</v>
  </rv>
  <rv s="3">
    <fb>44782</fb>
    <v>5</v>
  </rv>
  <rv s="3">
    <fb>23.24</fb>
    <v>6</v>
  </rv>
  <rv s="3">
    <fb>45147</fb>
    <v>5</v>
  </rv>
  <rv s="3">
    <fb>21.6</fb>
    <v>6</v>
  </rv>
  <rv s="3">
    <fb>44054</fb>
    <v>5</v>
  </rv>
  <rv s="3">
    <fb>41.52</fb>
    <v>6</v>
  </rv>
  <rv s="3">
    <fb>44420</fb>
    <v>5</v>
  </rv>
  <rv s="3">
    <fb>33.450000000000003</fb>
    <v>6</v>
  </rv>
  <rv s="3">
    <fb>44783</fb>
    <v>5</v>
  </rv>
  <rv s="3">
    <fb>45148</fb>
    <v>5</v>
  </rv>
  <rv s="3">
    <fb>21.8</fb>
    <v>6</v>
  </rv>
  <rv s="3">
    <fb>44055</fb>
    <v>5</v>
  </rv>
  <rv s="3">
    <fb>41.16</fb>
    <v>6</v>
  </rv>
  <rv s="3">
    <fb>44421</fb>
    <v>5</v>
  </rv>
  <rv s="3">
    <fb>33.590000000000003</fb>
    <v>6</v>
  </rv>
  <rv s="3">
    <fb>44784</fb>
    <v>5</v>
  </rv>
  <rv s="3">
    <fb>23.99</fb>
    <v>6</v>
  </rv>
  <rv s="3">
    <fb>45149</fb>
    <v>5</v>
  </rv>
  <rv s="3">
    <fb>21.88</fb>
    <v>6</v>
  </rv>
  <rv s="3">
    <fb>44056</fb>
    <v>5</v>
  </rv>
  <rv s="3">
    <fb>44424</fb>
    <v>5</v>
  </rv>
  <rv s="3">
    <fb>33.4</fb>
    <v>6</v>
  </rv>
  <rv s="3">
    <fb>44785</fb>
    <v>5</v>
  </rv>
  <rv s="3">
    <fb>24.2</fb>
    <v>6</v>
  </rv>
  <rv s="3">
    <fb>45152</fb>
    <v>5</v>
  </rv>
  <rv s="3">
    <fb>21.82</fb>
    <v>6</v>
  </rv>
  <rv s="3">
    <fb>44057</fb>
    <v>5</v>
  </rv>
  <rv s="3">
    <fb>39.76</fb>
    <v>6</v>
  </rv>
  <rv s="3">
    <fb>44425</fb>
    <v>5</v>
  </rv>
  <rv s="3">
    <fb>33</fb>
    <v>6</v>
  </rv>
  <rv s="3">
    <fb>44788</fb>
    <v>5</v>
  </rv>
  <rv s="3">
    <fb>45153</fb>
    <v>5</v>
  </rv>
  <rv s="3">
    <fb>21.7</fb>
    <v>6</v>
  </rv>
  <rv s="3">
    <fb>44060</fb>
    <v>5</v>
  </rv>
  <rv s="3">
    <fb>44426</fb>
    <v>5</v>
  </rv>
  <rv s="3">
    <fb>33.19</fb>
    <v>6</v>
  </rv>
  <rv s="3">
    <fb>44789</fb>
    <v>5</v>
  </rv>
  <rv s="3">
    <fb>24.55</fb>
    <v>6</v>
  </rv>
  <rv s="3">
    <fb>45154</fb>
    <v>5</v>
  </rv>
  <rv s="3">
    <fb>21.84</fb>
    <v>6</v>
  </rv>
  <rv s="3">
    <fb>44061</fb>
    <v>5</v>
  </rv>
  <rv s="3">
    <fb>44427</fb>
    <v>5</v>
  </rv>
  <rv s="3">
    <fb>32.64</fb>
    <v>6</v>
  </rv>
  <rv s="3">
    <fb>44790</fb>
    <v>5</v>
  </rv>
  <rv s="3">
    <fb>24.04</fb>
    <v>6</v>
  </rv>
  <rv s="3">
    <fb>45155</fb>
    <v>5</v>
  </rv>
  <rv s="3">
    <fb>44062</fb>
    <v>5</v>
  </rv>
  <rv s="3">
    <fb>39.94</fb>
    <v>6</v>
  </rv>
  <rv s="3">
    <fb>44428</fb>
    <v>5</v>
  </rv>
  <rv s="3">
    <fb>32.25</fb>
    <v>6</v>
  </rv>
  <rv s="3">
    <fb>44791</fb>
    <v>5</v>
  </rv>
  <rv s="3">
    <fb>23.96</fb>
    <v>6</v>
  </rv>
  <rv s="3">
    <fb>45156</fb>
    <v>5</v>
  </rv>
  <rv s="3">
    <fb>21.52</fb>
    <v>6</v>
  </rv>
  <rv s="3">
    <fb>44063</fb>
    <v>5</v>
  </rv>
  <rv s="3">
    <fb>44431</fb>
    <v>5</v>
  </rv>
  <rv s="3">
    <fb>44792</fb>
    <v>5</v>
  </rv>
  <rv s="3">
    <fb>23.8</fb>
    <v>6</v>
  </rv>
  <rv s="3">
    <fb>45159</fb>
    <v>5</v>
  </rv>
  <rv s="3">
    <fb>44064</fb>
    <v>5</v>
  </rv>
  <rv s="3">
    <fb>39.520000000000003</fb>
    <v>6</v>
  </rv>
  <rv s="3">
    <fb>44432</fb>
    <v>5</v>
  </rv>
  <rv s="3">
    <fb>32.71</fb>
    <v>6</v>
  </rv>
  <rv s="3">
    <fb>44795</fb>
    <v>5</v>
  </rv>
  <rv s="3">
    <fb>23.6</fb>
    <v>6</v>
  </rv>
  <rv s="3">
    <fb>45160</fb>
    <v>5</v>
  </rv>
  <rv s="3">
    <fb>21.72</fb>
    <v>6</v>
  </rv>
  <rv s="3">
    <fb>44067</fb>
    <v>5</v>
  </rv>
  <rv s="3">
    <fb>44433</fb>
    <v>5</v>
  </rv>
  <rv s="3">
    <fb>32.86</fb>
    <v>6</v>
  </rv>
  <rv s="3">
    <fb>44796</fb>
    <v>5</v>
  </rv>
  <rv s="3">
    <fb>23.83</fb>
    <v>6</v>
  </rv>
  <rv s="3">
    <fb>45161</fb>
    <v>5</v>
  </rv>
  <rv s="3">
    <fb>21.76</fb>
    <v>6</v>
  </rv>
  <rv s="3">
    <fb>44068</fb>
    <v>5</v>
  </rv>
  <rv s="3">
    <fb>44434</fb>
    <v>5</v>
  </rv>
  <rv s="3">
    <fb>44797</fb>
    <v>5</v>
  </rv>
  <rv s="3">
    <fb>45162</fb>
    <v>5</v>
  </rv>
  <rv s="3">
    <fb>44069</fb>
    <v>5</v>
  </rv>
  <rv s="3">
    <fb>39.380000000000003</fb>
    <v>6</v>
  </rv>
  <rv s="3">
    <fb>44435</fb>
    <v>5</v>
  </rv>
  <rv s="3">
    <fb>33.01</fb>
    <v>6</v>
  </rv>
  <rv s="3">
    <fb>44798</fb>
    <v>5</v>
  </rv>
  <rv s="3">
    <fb>45163</fb>
    <v>5</v>
  </rv>
  <rv s="3">
    <fb>21.94</fb>
    <v>6</v>
  </rv>
  <rv s="3">
    <fb>44070</fb>
    <v>5</v>
  </rv>
  <rv s="3">
    <fb>44438</fb>
    <v>5</v>
  </rv>
  <rv s="3">
    <fb>32.799999999999997</fb>
    <v>6</v>
  </rv>
  <rv s="3">
    <fb>44799</fb>
    <v>5</v>
  </rv>
  <rv s="3">
    <fb>45166</fb>
    <v>5</v>
  </rv>
  <rv s="3">
    <fb>22.22</fb>
    <v>6</v>
  </rv>
  <rv s="3">
    <fb>44071</fb>
    <v>5</v>
  </rv>
  <rv s="3">
    <fb>39.200000000000003</fb>
    <v>6</v>
  </rv>
  <rv s="3">
    <fb>44439</fb>
    <v>5</v>
  </rv>
  <rv s="3">
    <fb>32.81</fb>
    <v>6</v>
  </rv>
  <rv s="3">
    <fb>44802</fb>
    <v>5</v>
  </rv>
  <rv s="3">
    <fb>23.93</fb>
    <v>6</v>
  </rv>
  <rv s="3">
    <fb>45167</fb>
    <v>5</v>
  </rv>
  <rv s="3">
    <fb>44074</fb>
    <v>5</v>
  </rv>
  <rv s="3">
    <fb>39.58</fb>
    <v>6</v>
  </rv>
  <rv s="3">
    <fb>44440</fb>
    <v>5</v>
  </rv>
  <rv s="3">
    <fb>33.270000000000003</fb>
    <v>6</v>
  </rv>
  <rv s="3">
    <fb>44803</fb>
    <v>5</v>
  </rv>
  <rv s="3">
    <fb>23.57</fb>
    <v>6</v>
  </rv>
  <rv s="3">
    <fb>45168</fb>
    <v>5</v>
  </rv>
  <rv s="3">
    <fb>22.34</fb>
    <v>6</v>
  </rv>
  <rv s="3">
    <fb>44075</fb>
    <v>5</v>
  </rv>
  <rv s="3">
    <fb>38.44</fb>
    <v>6</v>
  </rv>
  <rv s="3">
    <fb>44441</fb>
    <v>5</v>
  </rv>
  <rv s="3">
    <fb>33.200000000000003</fb>
    <v>6</v>
  </rv>
  <rv s="3">
    <fb>44804</fb>
    <v>5</v>
  </rv>
  <rv s="3">
    <fb>45169</fb>
    <v>5</v>
  </rv>
  <rv s="3">
    <fb>44076</fb>
    <v>5</v>
  </rv>
  <rv s="3">
    <fb>44442</fb>
    <v>5</v>
  </rv>
  <rv s="3">
    <fb>32.97</fb>
    <v>6</v>
  </rv>
  <rv s="3">
    <fb>44805</fb>
    <v>5</v>
  </rv>
  <rv s="3">
    <fb>45170</fb>
    <v>5</v>
  </rv>
  <rv s="3">
    <fb>44077</fb>
    <v>5</v>
  </rv>
  <rv s="3">
    <fb>37.76</fb>
    <v>6</v>
  </rv>
  <rv s="3">
    <fb>44445</fb>
    <v>5</v>
  </rv>
  <rv s="3">
    <fb>44806</fb>
    <v>5</v>
  </rv>
  <rv s="3">
    <fb>45173</fb>
    <v>5</v>
  </rv>
  <rv s="3">
    <fb>44078</fb>
    <v>5</v>
  </rv>
  <rv s="3">
    <fb>44446</fb>
    <v>5</v>
  </rv>
  <rv s="3">
    <fb>32.950000000000003</fb>
    <v>6</v>
  </rv>
  <rv s="3">
    <fb>44809</fb>
    <v>5</v>
  </rv>
  <rv s="3">
    <fb>45174</fb>
    <v>5</v>
  </rv>
  <rv s="3">
    <fb>21.58</fb>
    <v>6</v>
  </rv>
  <rv s="3">
    <fb>44081</fb>
    <v>5</v>
  </rv>
  <rv s="3">
    <fb>38.32</fb>
    <v>6</v>
  </rv>
  <rv s="3">
    <fb>44447</fb>
    <v>5</v>
  </rv>
  <rv s="3">
    <fb>32.880000000000003</fb>
    <v>6</v>
  </rv>
  <rv s="3">
    <fb>44810</fb>
    <v>5</v>
  </rv>
  <rv s="3">
    <fb>23.45</fb>
    <v>6</v>
  </rv>
  <rv s="3">
    <fb>45175</fb>
    <v>5</v>
  </rv>
  <rv s="3">
    <fb>44082</fb>
    <v>5</v>
  </rv>
  <rv s="3">
    <fb>37.94</fb>
    <v>6</v>
  </rv>
  <rv s="3">
    <fb>44448</fb>
    <v>5</v>
  </rv>
  <rv s="3">
    <fb>32.07</fb>
    <v>6</v>
  </rv>
  <rv s="3">
    <fb>44811</fb>
    <v>5</v>
  </rv>
  <rv s="3">
    <fb>23.33</fb>
    <v>6</v>
  </rv>
  <rv s="3">
    <fb>45176</fb>
    <v>5</v>
  </rv>
  <rv s="3">
    <fb>44083</fb>
    <v>5</v>
  </rv>
  <rv s="3">
    <fb>44449</fb>
    <v>5</v>
  </rv>
  <rv s="3">
    <fb>29.52</fb>
    <v>6</v>
  </rv>
  <rv s="3">
    <fb>44812</fb>
    <v>5</v>
  </rv>
  <rv s="3">
    <fb>23.18</fb>
    <v>6</v>
  </rv>
  <rv s="3">
    <fb>45177</fb>
    <v>5</v>
  </rv>
  <rv s="3">
    <fb>44084</fb>
    <v>5</v>
  </rv>
  <rv s="3">
    <fb>44452</fb>
    <v>5</v>
  </rv>
  <rv s="3">
    <fb>29.66</fb>
    <v>6</v>
  </rv>
  <rv s="3">
    <fb>44813</fb>
    <v>5</v>
  </rv>
  <rv s="3">
    <fb>24.9</fb>
    <v>6</v>
  </rv>
  <rv s="3">
    <fb>45180</fb>
    <v>5</v>
  </rv>
  <rv s="3">
    <fb>22.72</fb>
    <v>6</v>
  </rv>
  <rv s="3">
    <fb>44085</fb>
    <v>5</v>
  </rv>
  <rv s="3">
    <fb>44453</fb>
    <v>5</v>
  </rv>
  <rv s="3">
    <fb>29.98</fb>
    <v>6</v>
  </rv>
  <rv s="3">
    <fb>44816</fb>
    <v>5</v>
  </rv>
  <rv s="3">
    <fb>25.1</fb>
    <v>6</v>
  </rv>
  <rv s="3">
    <fb>45181</fb>
    <v>5</v>
  </rv>
  <rv s="3">
    <fb>23.02</fb>
    <v>6</v>
  </rv>
  <rv s="3">
    <fb>44088</fb>
    <v>5</v>
  </rv>
  <rv s="3">
    <fb>38.340000000000003</fb>
    <v>6</v>
  </rv>
  <rv s="3">
    <fb>44454</fb>
    <v>5</v>
  </rv>
  <rv s="3">
    <fb>30.1</fb>
    <v>6</v>
  </rv>
  <rv s="3">
    <fb>44817</fb>
    <v>5</v>
  </rv>
  <rv s="3">
    <fb>24.78</fb>
    <v>6</v>
  </rv>
  <rv s="3">
    <fb>45182</fb>
    <v>5</v>
  </rv>
  <rv s="3">
    <fb>22.86</fb>
    <v>6</v>
  </rv>
  <rv s="3">
    <fb>44089</fb>
    <v>5</v>
  </rv>
  <rv s="3">
    <fb>44455</fb>
    <v>5</v>
  </rv>
  <rv s="3">
    <fb>29.95</fb>
    <v>6</v>
  </rv>
  <rv s="3">
    <fb>44818</fb>
    <v>5</v>
  </rv>
  <rv s="3">
    <fb>24.51</fb>
    <v>6</v>
  </rv>
  <rv s="3">
    <fb>45183</fb>
    <v>5</v>
  </rv>
  <rv s="3">
    <fb>44090</fb>
    <v>5</v>
  </rv>
  <rv s="3">
    <fb>44456</fb>
    <v>5</v>
  </rv>
  <rv s="3">
    <fb>29.86</fb>
    <v>6</v>
  </rv>
  <rv s="3">
    <fb>44819</fb>
    <v>5</v>
  </rv>
  <rv s="3">
    <fb>24.17</fb>
    <v>6</v>
  </rv>
  <rv s="3">
    <fb>45184</fb>
    <v>5</v>
  </rv>
  <rv s="3">
    <fb>44091</fb>
    <v>5</v>
  </rv>
  <rv s="3">
    <fb>44459</fb>
    <v>5</v>
  </rv>
  <rv s="3">
    <fb>29.54</fb>
    <v>6</v>
  </rv>
  <rv s="3">
    <fb>44820</fb>
    <v>5</v>
  </rv>
  <rv s="3">
    <fb>23.36</fb>
    <v>6</v>
  </rv>
  <rv s="3">
    <fb>45187</fb>
    <v>5</v>
  </rv>
  <rv s="3">
    <fb>44092</fb>
    <v>5</v>
  </rv>
  <rv s="3">
    <fb>35.9</fb>
    <v>6</v>
  </rv>
  <rv s="3">
    <fb>44460</fb>
    <v>5</v>
  </rv>
  <rv s="3">
    <fb>29.19</fb>
    <v>6</v>
  </rv>
  <rv s="3">
    <fb>44823</fb>
    <v>5</v>
  </rv>
  <rv s="3">
    <fb>23.06</fb>
    <v>6</v>
  </rv>
  <rv s="3">
    <fb>45188</fb>
    <v>5</v>
  </rv>
  <rv s="3">
    <fb>22.76</fb>
    <v>6</v>
  </rv>
  <rv s="3">
    <fb>44095</fb>
    <v>5</v>
  </rv>
  <rv s="3">
    <fb>44461</fb>
    <v>5</v>
  </rv>
  <rv s="3">
    <fb>29.51</fb>
    <v>6</v>
  </rv>
  <rv s="3">
    <fb>44824</fb>
    <v>5</v>
  </rv>
  <rv s="3">
    <fb>23.13</fb>
    <v>6</v>
  </rv>
  <rv s="3">
    <fb>45189</fb>
    <v>5</v>
  </rv>
  <rv s="3">
    <fb>44096</fb>
    <v>5</v>
  </rv>
  <rv s="3">
    <fb>44462</fb>
    <v>5</v>
  </rv>
  <rv s="3">
    <fb>44825</fb>
    <v>5</v>
  </rv>
  <rv s="3">
    <fb>45190</fb>
    <v>5</v>
  </rv>
  <rv s="3">
    <fb>44097</fb>
    <v>5</v>
  </rv>
  <rv s="3">
    <fb>35.4</fb>
    <v>6</v>
  </rv>
  <rv s="3">
    <fb>44463</fb>
    <v>5</v>
  </rv>
  <rv s="3">
    <fb>44826</fb>
    <v>5</v>
  </rv>
  <rv s="3">
    <fb>23.39</fb>
    <v>6</v>
  </rv>
  <rv s="3">
    <fb>45191</fb>
    <v>5</v>
  </rv>
  <rv s="3">
    <fb>44098</fb>
    <v>5</v>
  </rv>
  <rv s="3">
    <fb>34.9</fb>
    <v>6</v>
  </rv>
  <rv s="3">
    <fb>44466</fb>
    <v>5</v>
  </rv>
  <rv s="3">
    <fb>29.72</fb>
    <v>6</v>
  </rv>
  <rv s="3">
    <fb>44827</fb>
    <v>5</v>
  </rv>
  <rv s="3">
    <fb>22.59</fb>
    <v>6</v>
  </rv>
  <rv s="3">
    <fb>45194</fb>
    <v>5</v>
  </rv>
  <rv s="3">
    <fb>44099</fb>
    <v>5</v>
  </rv>
  <rv s="3">
    <fb>34.36</fb>
    <v>6</v>
  </rv>
  <rv s="3">
    <fb>44467</fb>
    <v>5</v>
  </rv>
  <rv s="3">
    <fb>29.8</fb>
    <v>6</v>
  </rv>
  <rv s="3">
    <fb>44830</fb>
    <v>5</v>
  </rv>
  <rv s="3">
    <fb>45195</fb>
    <v>5</v>
  </rv>
  <rv s="3">
    <fb>21.38</fb>
    <v>6</v>
  </rv>
  <rv s="3">
    <fb>44102</fb>
    <v>5</v>
  </rv>
  <rv s="3">
    <fb>35.54</fb>
    <v>6</v>
  </rv>
  <rv s="3">
    <fb>44468</fb>
    <v>5</v>
  </rv>
  <rv s="3">
    <fb>30</fb>
    <v>6</v>
  </rv>
  <rv s="3">
    <fb>44831</fb>
    <v>5</v>
  </rv>
  <rv s="3">
    <fb>45196</fb>
    <v>5</v>
  </rv>
  <rv s="3">
    <fb>44103</fb>
    <v>5</v>
  </rv>
  <rv s="3">
    <fb>34.44</fb>
    <v>6</v>
  </rv>
  <rv s="3">
    <fb>44469</fb>
    <v>5</v>
  </rv>
  <rv s="3">
    <fb>29.89</fb>
    <v>6</v>
  </rv>
  <rv s="3">
    <fb>44832</fb>
    <v>5</v>
  </rv>
  <rv s="3">
    <fb>22.17</fb>
    <v>6</v>
  </rv>
  <rv s="3">
    <fb>45197</fb>
    <v>5</v>
  </rv>
  <rv s="3">
    <fb>44104</fb>
    <v>5</v>
  </rv>
  <rv s="3">
    <fb>34.24</fb>
    <v>6</v>
  </rv>
  <rv s="3">
    <fb>44470</fb>
    <v>5</v>
  </rv>
  <rv s="3">
    <fb>29.92</fb>
    <v>6</v>
  </rv>
  <rv s="3">
    <fb>44833</fb>
    <v>5</v>
  </rv>
  <rv s="3">
    <fb>21.81</fb>
    <v>6</v>
  </rv>
  <rv s="3">
    <fb>45198</fb>
    <v>5</v>
  </rv>
  <rv s="3">
    <fb>44105</fb>
    <v>5</v>
  </rv>
  <rv s="3">
    <fb>31.98</fb>
    <v>6</v>
  </rv>
  <rv s="3">
    <fb>44473</fb>
    <v>5</v>
  </rv>
  <rv s="3">
    <fb>30.3</fb>
    <v>6</v>
  </rv>
  <rv s="3">
    <fb>44834</fb>
    <v>5</v>
  </rv>
  <rv s="3">
    <fb>21.39</fb>
    <v>6</v>
  </rv>
  <rv s="3">
    <fb>45201</fb>
    <v>5</v>
  </rv>
  <rv s="3">
    <fb>20.9</fb>
    <v>6</v>
  </rv>
  <rv s="3">
    <fb>44106</fb>
    <v>5</v>
  </rv>
  <rv s="3">
    <fb>31.9</fb>
    <v>6</v>
  </rv>
  <rv s="3">
    <fb>44474</fb>
    <v>5</v>
  </rv>
  <rv s="3">
    <fb>44837</fb>
    <v>5</v>
  </rv>
  <rv s="3">
    <fb>21.69</fb>
    <v>6</v>
  </rv>
  <rv s="3">
    <fb>45202</fb>
    <v>5</v>
  </rv>
  <rv s="3">
    <fb>20.72</fb>
    <v>6</v>
  </rv>
  <rv s="3">
    <fb>44109</fb>
    <v>5</v>
  </rv>
  <rv s="3">
    <fb>32.020000000000003</fb>
    <v>6</v>
  </rv>
  <rv s="3">
    <fb>44475</fb>
    <v>5</v>
  </rv>
  <rv s="3">
    <fb>44838</fb>
    <v>5</v>
  </rv>
  <rv s="3">
    <fb>21.97</fb>
    <v>6</v>
  </rv>
  <rv s="3">
    <fb>45203</fb>
    <v>5</v>
  </rv>
  <rv s="3">
    <fb>20.8</fb>
    <v>6</v>
  </rv>
  <rv s="3">
    <fb>44110</fb>
    <v>5</v>
  </rv>
  <rv s="3">
    <fb>44476</fb>
    <v>5</v>
  </rv>
  <rv s="3">
    <fb>44839</fb>
    <v>5</v>
  </rv>
  <rv s="3">
    <fb>21.64</fb>
    <v>6</v>
  </rv>
  <rv s="3">
    <fb>45204</fb>
    <v>5</v>
  </rv>
  <rv s="3">
    <fb>44111</fb>
    <v>5</v>
  </rv>
  <rv s="3">
    <fb>44477</fb>
    <v>5</v>
  </rv>
  <rv s="3">
    <fb>44840</fb>
    <v>5</v>
  </rv>
  <rv s="3">
    <fb>45205</fb>
    <v>5</v>
  </rv>
  <rv s="3">
    <fb>21.08</fb>
    <v>6</v>
  </rv>
  <rv s="3">
    <fb>44112</fb>
    <v>5</v>
  </rv>
  <rv s="3">
    <fb>30.44</fb>
    <v>6</v>
  </rv>
  <rv s="3">
    <fb>44480</fb>
    <v>5</v>
  </rv>
  <rv s="3">
    <fb>29.61</fb>
    <v>6</v>
  </rv>
  <rv s="3">
    <fb>44841</fb>
    <v>5</v>
  </rv>
  <rv s="3">
    <fb>21.55</fb>
    <v>6</v>
  </rv>
  <rv s="3">
    <fb>45208</fb>
    <v>5</v>
  </rv>
  <rv s="3">
    <fb>44113</fb>
    <v>5</v>
  </rv>
  <rv s="3">
    <fb>30.48</fb>
    <v>6</v>
  </rv>
  <rv s="3">
    <fb>44481</fb>
    <v>5</v>
  </rv>
  <rv s="3">
    <fb>29.29</fb>
    <v>6</v>
  </rv>
  <rv s="3">
    <fb>44844</fb>
    <v>5</v>
  </rv>
  <rv s="3">
    <fb>21.42</fb>
    <v>6</v>
  </rv>
  <rv s="3">
    <fb>45209</fb>
    <v>5</v>
  </rv>
  <rv s="3">
    <fb>21.44</fb>
    <v>6</v>
  </rv>
  <rv s="3">
    <fb>44116</fb>
    <v>5</v>
  </rv>
  <rv s="3">
    <fb>30.76</fb>
    <v>6</v>
  </rv>
  <rv s="3">
    <fb>44482</fb>
    <v>5</v>
  </rv>
  <rv s="3">
    <fb>28.85</fb>
    <v>6</v>
  </rv>
  <rv s="3">
    <fb>44845</fb>
    <v>5</v>
  </rv>
  <rv s="3">
    <fb>21.25</fb>
    <v>6</v>
  </rv>
  <rv s="3">
    <fb>45210</fb>
    <v>5</v>
  </rv>
  <rv s="3">
    <fb>21.2</fb>
    <v>6</v>
  </rv>
  <rv s="3">
    <fb>44117</fb>
    <v>5</v>
  </rv>
  <rv s="3">
    <fb>30.54</fb>
    <v>6</v>
  </rv>
  <rv s="3">
    <fb>44483</fb>
    <v>5</v>
  </rv>
  <rv s="3">
    <fb>44846</fb>
    <v>5</v>
  </rv>
  <rv s="3">
    <fb>20.89</fb>
    <v>6</v>
  </rv>
  <rv s="3">
    <fb>45211</fb>
    <v>5</v>
  </rv>
  <rv s="3">
    <fb>21.26</fb>
    <v>6</v>
  </rv>
  <rv s="3">
    <fb>44118</fb>
    <v>5</v>
  </rv>
  <rv s="3">
    <fb>30.26</fb>
    <v>6</v>
  </rv>
  <rv s="3">
    <fb>44484</fb>
    <v>5</v>
  </rv>
  <rv s="3">
    <fb>44847</fb>
    <v>5</v>
  </rv>
  <rv s="3">
    <fb>21.32</fb>
    <v>6</v>
  </rv>
  <rv s="3">
    <fb>45212</fb>
    <v>5</v>
  </rv>
  <rv s="3">
    <fb>21.18</fb>
    <v>6</v>
  </rv>
  <rv s="3">
    <fb>44119</fb>
    <v>5</v>
  </rv>
  <rv s="3">
    <fb>29.58</fb>
    <v>6</v>
  </rv>
  <rv s="3">
    <fb>44487</fb>
    <v>5</v>
  </rv>
  <rv s="3">
    <fb>44848</fb>
    <v>5</v>
  </rv>
  <rv s="3">
    <fb>21.23</fb>
    <v>6</v>
  </rv>
  <rv s="3">
    <fb>45215</fb>
    <v>5</v>
  </rv>
  <rv s="3">
    <fb>44120</fb>
    <v>5</v>
  </rv>
  <rv s="3">
    <fb>30.56</fb>
    <v>6</v>
  </rv>
  <rv s="3">
    <fb>44488</fb>
    <v>5</v>
  </rv>
  <rv s="3">
    <fb>28.97</fb>
    <v>6</v>
  </rv>
  <rv s="3">
    <fb>44851</fb>
    <v>5</v>
  </rv>
  <rv s="3">
    <fb>45216</fb>
    <v>5</v>
  </rv>
  <rv s="3">
    <fb>44123</fb>
    <v>5</v>
  </rv>
  <rv s="3">
    <fb>30.94</fb>
    <v>6</v>
  </rv>
  <rv s="3">
    <fb>44489</fb>
    <v>5</v>
  </rv>
  <rv s="3">
    <fb>29.09</fb>
    <v>6</v>
  </rv>
  <rv s="3">
    <fb>44852</fb>
    <v>5</v>
  </rv>
  <rv s="3">
    <fb>45217</fb>
    <v>5</v>
  </rv>
  <rv s="3">
    <fb>44124</fb>
    <v>5</v>
  </rv>
  <rv s="3">
    <fb>30.4</fb>
    <v>6</v>
  </rv>
  <rv s="3">
    <fb>44490</fb>
    <v>5</v>
  </rv>
  <rv s="3">
    <fb>44853</fb>
    <v>5</v>
  </rv>
  <rv s="3">
    <fb>45218</fb>
    <v>5</v>
  </rv>
  <rv s="3">
    <fb>21.16</fb>
    <v>6</v>
  </rv>
  <rv s="3">
    <fb>44125</fb>
    <v>5</v>
  </rv>
  <rv s="3">
    <fb>29.84</fb>
    <v>6</v>
  </rv>
  <rv s="3">
    <fb>44491</fb>
    <v>5</v>
  </rv>
  <rv s="3">
    <fb>28.35</fb>
    <v>6</v>
  </rv>
  <rv s="3">
    <fb>44854</fb>
    <v>5</v>
  </rv>
  <rv s="3">
    <fb>22.13</fb>
    <v>6</v>
  </rv>
  <rv s="3">
    <fb>45219</fb>
    <v>5</v>
  </rv>
  <rv s="3">
    <fb>20.46</fb>
    <v>6</v>
  </rv>
  <rv s="3">
    <fb>44126</fb>
    <v>5</v>
  </rv>
  <rv s="3">
    <fb>29.96</fb>
    <v>6</v>
  </rv>
  <rv s="3">
    <fb>44494</fb>
    <v>5</v>
  </rv>
  <rv s="3">
    <fb>28.13</fb>
    <v>6</v>
  </rv>
  <rv s="3">
    <fb>44855</fb>
    <v>5</v>
  </rv>
  <rv s="3">
    <fb>45222</fb>
    <v>5</v>
  </rv>
  <rv s="3">
    <fb>19.93</fb>
    <v>6</v>
  </rv>
  <rv s="3">
    <fb>44127</fb>
    <v>5</v>
  </rv>
  <rv s="3">
    <fb>30.6</fb>
    <v>6</v>
  </rv>
  <rv s="3">
    <fb>44495</fb>
    <v>5</v>
  </rv>
  <rv s="3">
    <fb>28.18</fb>
    <v>6</v>
  </rv>
  <rv s="3">
    <fb>44858</fb>
    <v>5</v>
  </rv>
  <rv s="3">
    <fb>21.98</fb>
    <v>6</v>
  </rv>
  <rv s="3">
    <fb>45223</fb>
    <v>5</v>
  </rv>
  <rv s="3">
    <fb>20.04</fb>
    <v>6</v>
  </rv>
  <rv s="3">
    <fb>44130</fb>
    <v>5</v>
  </rv>
  <rv s="3">
    <fb>29.7</fb>
    <v>6</v>
  </rv>
  <rv s="3">
    <fb>44496</fb>
    <v>5</v>
  </rv>
  <rv s="3">
    <fb>28.15</fb>
    <v>6</v>
  </rv>
  <rv s="3">
    <fb>44859</fb>
    <v>5</v>
  </rv>
  <rv s="3">
    <fb>45224</fb>
    <v>5</v>
  </rv>
  <rv s="3">
    <fb>19.88</fb>
    <v>6</v>
  </rv>
  <rv s="3">
    <fb>44131</fb>
    <v>5</v>
  </rv>
  <rv s="3">
    <fb>29</fb>
    <v>6</v>
  </rv>
  <rv s="3">
    <fb>44497</fb>
    <v>5</v>
  </rv>
  <rv s="3">
    <fb>44860</fb>
    <v>5</v>
  </rv>
  <rv s="3">
    <fb>45225</fb>
    <v>5</v>
  </rv>
  <rv s="3">
    <fb>20.02</fb>
    <v>6</v>
  </rv>
  <rv s="3">
    <fb>44132</fb>
    <v>5</v>
  </rv>
  <rv s="3">
    <fb>44498</fb>
    <v>5</v>
  </rv>
  <rv s="3">
    <fb>27.69</fb>
    <v>6</v>
  </rv>
  <rv s="3">
    <fb>44861</fb>
    <v>5</v>
  </rv>
  <rv s="3">
    <fb>22.6</fb>
    <v>6</v>
  </rv>
  <rv s="3">
    <fb>45226</fb>
    <v>5</v>
  </rv>
  <rv s="3">
    <fb>19.84</fb>
    <v>6</v>
  </rv>
  <rv s="3">
    <fb>44133</fb>
    <v>5</v>
  </rv>
  <rv s="3">
    <fb>28.3</fb>
    <v>6</v>
  </rv>
  <rv s="3">
    <fb>44501</fb>
    <v>5</v>
  </rv>
  <rv s="3">
    <fb>27.91</fb>
    <v>6</v>
  </rv>
  <rv s="3">
    <fb>44862</fb>
    <v>5</v>
  </rv>
  <rv s="3">
    <fb>22.63</fb>
    <v>6</v>
  </rv>
  <rv s="3">
    <fb>45229</fb>
    <v>5</v>
  </rv>
  <rv s="3">
    <fb>20.36</fb>
    <v>6</v>
  </rv>
  <rv s="3">
    <fb>44134</fb>
    <v>5</v>
  </rv>
  <rv s="3">
    <fb>44502</fb>
    <v>5</v>
  </rv>
  <rv s="3">
    <fb>27.79</fb>
    <v>6</v>
  </rv>
  <rv s="3">
    <fb>44865</fb>
    <v>5</v>
  </rv>
  <rv s="3">
    <fb>23</fb>
    <v>6</v>
  </rv>
  <rv s="3">
    <fb>45230</fb>
    <v>5</v>
  </rv>
  <rv s="3">
    <fb>20.54</fb>
    <v>6</v>
  </rv>
  <rv s="3">
    <fb>44137</fb>
    <v>5</v>
  </rv>
  <rv s="3">
    <fb>44503</fb>
    <v>5</v>
  </rv>
  <rv s="3">
    <fb>27.56</fb>
    <v>6</v>
  </rv>
  <rv s="3">
    <fb>44866</fb>
    <v>5</v>
  </rv>
  <rv s="3">
    <fb>45231</fb>
    <v>5</v>
  </rv>
  <rv s="3">
    <fb>20.68</fb>
    <v>6</v>
  </rv>
  <rv s="3">
    <fb>44138</fb>
    <v>5</v>
  </rv>
  <rv s="3">
    <fb>44504</fb>
    <v>5</v>
  </rv>
  <rv s="3">
    <fb>27.8</fb>
    <v>6</v>
  </rv>
  <rv s="3">
    <fb>44867</fb>
    <v>5</v>
  </rv>
  <rv s="3">
    <fb>45232</fb>
    <v>5</v>
  </rv>
  <rv s="3">
    <fb>21.12</fb>
    <v>6</v>
  </rv>
  <rv s="3">
    <fb>44139</fb>
    <v>5</v>
  </rv>
  <rv s="3">
    <fb>29.9</fb>
    <v>6</v>
  </rv>
  <rv s="3">
    <fb>44505</fb>
    <v>5</v>
  </rv>
  <rv s="3">
    <fb>28.57</fb>
    <v>6</v>
  </rv>
  <rv s="3">
    <fb>44868</fb>
    <v>5</v>
  </rv>
  <rv s="3">
    <fb>45233</fb>
    <v>5</v>
  </rv>
  <rv s="3">
    <fb>21.34</fb>
    <v>6</v>
  </rv>
  <rv s="3">
    <fb>44140</fb>
    <v>5</v>
  </rv>
  <rv s="3">
    <fb>29.44</fb>
    <v>6</v>
  </rv>
  <rv s="3">
    <fb>44508</fb>
    <v>5</v>
  </rv>
  <rv s="3">
    <fb>28.37</fb>
    <v>6</v>
  </rv>
  <rv s="3">
    <fb>44869</fb>
    <v>5</v>
  </rv>
  <rv s="3">
    <fb>23.46</fb>
    <v>6</v>
  </rv>
  <rv s="3">
    <fb>45236</fb>
    <v>5</v>
  </rv>
  <rv s="3">
    <fb>20.96</fb>
    <v>6</v>
  </rv>
  <rv s="3">
    <fb>44141</fb>
    <v>5</v>
  </rv>
  <rv s="3">
    <fb>31.02</fb>
    <v>6</v>
  </rv>
  <rv s="3">
    <fb>44509</fb>
    <v>5</v>
  </rv>
  <rv s="3">
    <fb>44872</fb>
    <v>5</v>
  </rv>
  <rv s="3">
    <fb>23.58</fb>
    <v>6</v>
  </rv>
  <rv s="3">
    <fb>45237</fb>
    <v>5</v>
  </rv>
  <rv s="3">
    <fb>20.64</fb>
    <v>6</v>
  </rv>
  <rv s="3">
    <fb>44144</fb>
    <v>5</v>
  </rv>
  <rv s="3">
    <fb>32</fb>
    <v>6</v>
  </rv>
  <rv s="3">
    <fb>44510</fb>
    <v>5</v>
  </rv>
  <rv s="3">
    <fb>28.7</fb>
    <v>6</v>
  </rv>
  <rv s="3">
    <fb>44873</fb>
    <v>5</v>
  </rv>
  <rv s="3">
    <fb>23.4</fb>
    <v>6</v>
  </rv>
  <rv s="3">
    <fb>45238</fb>
    <v>5</v>
  </rv>
  <rv s="3">
    <fb>44145</fb>
    <v>5</v>
  </rv>
  <rv s="3">
    <fb>34.4</fb>
    <v>6</v>
  </rv>
  <rv s="3">
    <fb>44511</fb>
    <v>5</v>
  </rv>
  <rv s="3">
    <fb>28.08</fb>
    <v>6</v>
  </rv>
  <rv s="3">
    <fb>44874</fb>
    <v>5</v>
  </rv>
  <rv s="3">
    <fb>23.05</fb>
    <v>6</v>
  </rv>
  <rv s="3">
    <fb>45239</fb>
    <v>5</v>
  </rv>
  <rv s="3">
    <fb>21.62</fb>
    <v>6</v>
  </rv>
  <rv s="3">
    <fb>44146</fb>
    <v>5</v>
  </rv>
  <rv s="3">
    <fb>32.479999999999997</fb>
    <v>6</v>
  </rv>
  <rv s="3">
    <fb>44512</fb>
    <v>5</v>
  </rv>
  <rv s="3">
    <fb>27.95</fb>
    <v>6</v>
  </rv>
  <rv s="3">
    <fb>44875</fb>
    <v>5</v>
  </rv>
  <rv s="3">
    <fb>45240</fb>
    <v>5</v>
  </rv>
  <rv s="3">
    <fb>44147</fb>
    <v>5</v>
  </rv>
  <rv s="3">
    <fb>32.92</fb>
    <v>6</v>
  </rv>
  <rv s="3">
    <fb>44515</fb>
    <v>5</v>
  </rv>
  <rv s="3">
    <fb>44876</fb>
    <v>5</v>
  </rv>
  <rv s="3">
    <fb>24.06</fb>
    <v>6</v>
  </rv>
  <rv s="3">
    <fb>45243</fb>
    <v>5</v>
  </rv>
  <rv s="3">
    <fb>44148</fb>
    <v>5</v>
  </rv>
  <rv s="3">
    <fb>33.18</fb>
    <v>6</v>
  </rv>
  <rv s="3">
    <fb>44516</fb>
    <v>5</v>
  </rv>
  <rv s="3">
    <fb>27.77</fb>
    <v>6</v>
  </rv>
  <rv s="3">
    <fb>44879</fb>
    <v>5</v>
  </rv>
  <rv s="3">
    <fb>45244</fb>
    <v>5</v>
  </rv>
  <rv s="3">
    <fb>44151</fb>
    <v>5</v>
  </rv>
  <rv s="3">
    <fb>33.520000000000003</fb>
    <v>6</v>
  </rv>
  <rv s="3">
    <fb>44517</fb>
    <v>5</v>
  </rv>
  <rv s="3">
    <fb>44880</fb>
    <v>5</v>
  </rv>
  <rv s="3">
    <fb>23.75</fb>
    <v>6</v>
  </rv>
  <rv s="3">
    <fb>45245</fb>
    <v>5</v>
  </rv>
  <rv s="3">
    <fb>44152</fb>
    <v>5</v>
  </rv>
  <rv s="3">
    <fb>44518</fb>
    <v>5</v>
  </rv>
  <rv s="3">
    <fb>26.61</fb>
    <v>6</v>
  </rv>
  <rv s="3">
    <fb>44881</fb>
    <v>5</v>
  </rv>
  <rv s="3">
    <fb>23.7</fb>
    <v>6</v>
  </rv>
  <rv s="3">
    <fb>45246</fb>
    <v>5</v>
  </rv>
  <rv s="3">
    <fb>21.86</fb>
    <v>6</v>
  </rv>
  <rv s="3">
    <fb>44153</fb>
    <v>5</v>
  </rv>
  <rv s="3">
    <fb>44519</fb>
    <v>5</v>
  </rv>
  <rv s="3">
    <fb>26.05</fb>
    <v>6</v>
  </rv>
  <rv s="3">
    <fb>44882</fb>
    <v>5</v>
  </rv>
  <rv s="3">
    <fb>23.62</fb>
    <v>6</v>
  </rv>
  <rv s="3">
    <fb>45247</fb>
    <v>5</v>
  </rv>
  <rv s="3">
    <fb>44154</fb>
    <v>5</v>
  </rv>
  <rv s="3">
    <fb>34.32</fb>
    <v>6</v>
  </rv>
  <rv s="3">
    <fb>44522</fb>
    <v>5</v>
  </rv>
  <rv s="3">
    <fb>26.4</fb>
    <v>6</v>
  </rv>
  <rv s="3">
    <fb>44883</fb>
    <v>5</v>
  </rv>
  <rv s="3">
    <fb>23.53</fb>
    <v>6</v>
  </rv>
  <rv s="3">
    <fb>45250</fb>
    <v>5</v>
  </rv>
  <rv s="3">
    <fb>44155</fb>
    <v>5</v>
  </rv>
  <rv s="3">
    <fb>35.479999999999997</fb>
    <v>6</v>
  </rv>
  <rv s="3">
    <fb>44523</fb>
    <v>5</v>
  </rv>
  <rv s="3">
    <fb>26.57</fb>
    <v>6</v>
  </rv>
  <rv s="3">
    <fb>44886</fb>
    <v>5</v>
  </rv>
  <rv s="3">
    <fb>45251</fb>
    <v>5</v>
  </rv>
  <rv s="3">
    <fb>21.96</fb>
    <v>6</v>
  </rv>
  <rv s="3">
    <fb>44158</fb>
    <v>5</v>
  </rv>
  <rv s="3">
    <fb>35.880000000000003</fb>
    <v>6</v>
  </rv>
  <rv s="3">
    <fb>44524</fb>
    <v>5</v>
  </rv>
  <rv s="3">
    <fb>26.22</fb>
    <v>6</v>
  </rv>
  <rv s="3">
    <fb>44887</fb>
    <v>5</v>
  </rv>
  <rv s="3">
    <fb>24.03</fb>
    <v>6</v>
  </rv>
  <rv s="3">
    <fb>45252</fb>
    <v>5</v>
  </rv>
  <rv s="3">
    <fb>44159</fb>
    <v>5</v>
  </rv>
  <rv s="3">
    <fb>37.56</fb>
    <v>6</v>
  </rv>
  <rv s="3">
    <fb>44525</fb>
    <v>5</v>
  </rv>
  <rv s="3">
    <fb>44888</fb>
    <v>5</v>
  </rv>
  <rv s="3">
    <fb>24.08</fb>
    <v>6</v>
  </rv>
  <rv s="3">
    <fb>45253</fb>
    <v>5</v>
  </rv>
  <rv s="3">
    <fb>44160</fb>
    <v>5</v>
  </rv>
  <rv s="3">
    <fb>36.54</fb>
    <v>6</v>
  </rv>
  <rv s="3">
    <fb>44526</fb>
    <v>5</v>
  </rv>
  <rv s="3">
    <fb>25</fb>
    <v>6</v>
  </rv>
  <rv s="3">
    <fb>44889</fb>
    <v>5</v>
  </rv>
  <rv s="3">
    <fb>24.19</fb>
    <v>6</v>
  </rv>
  <rv s="3">
    <fb>45254</fb>
    <v>5</v>
  </rv>
  <rv s="3">
    <fb>44161</fb>
    <v>5</v>
  </rv>
  <rv s="3">
    <fb>36.659999999999997</fb>
    <v>6</v>
  </rv>
  <rv s="3">
    <fb>44529</fb>
    <v>5</v>
  </rv>
  <rv s="3">
    <fb>24.82</fb>
    <v>6</v>
  </rv>
  <rv s="3">
    <fb>44890</fb>
    <v>5</v>
  </rv>
  <rv s="3">
    <fb>45257</fb>
    <v>5</v>
  </rv>
  <rv s="3">
    <fb>44162</fb>
    <v>5</v>
  </rv>
  <rv s="3">
    <fb>44530</fb>
    <v>5</v>
  </rv>
  <rv s="3">
    <fb>24.28</fb>
    <v>6</v>
  </rv>
  <rv s="3">
    <fb>44893</fb>
    <v>5</v>
  </rv>
  <rv s="3">
    <fb>45258</fb>
    <v>5</v>
  </rv>
  <rv s="3">
    <fb>22.16</fb>
    <v>6</v>
  </rv>
  <rv s="3">
    <fb>44165</fb>
    <v>5</v>
  </rv>
  <rv s="3">
    <fb>44531</fb>
    <v>5</v>
  </rv>
  <rv s="3">
    <fb>44894</fb>
    <v>5</v>
  </rv>
  <rv s="3">
    <fb>24.3</fb>
    <v>6</v>
  </rv>
  <rv s="3">
    <fb>45259</fb>
    <v>5</v>
  </rv>
  <rv s="3">
    <fb>44166</fb>
    <v>5</v>
  </rv>
  <rv s="3">
    <fb>44532</fb>
    <v>5</v>
  </rv>
  <rv s="3">
    <fb>44895</fb>
    <v>5</v>
  </rv>
  <rv s="3">
    <fb>45260</fb>
    <v>5</v>
  </rv>
  <rv s="3">
    <fb>44167</fb>
    <v>5</v>
  </rv>
  <rv s="3">
    <fb>36.78</fb>
    <v>6</v>
  </rv>
  <rv s="3">
    <fb>44533</fb>
    <v>5</v>
  </rv>
  <rv s="3">
    <fb>25.39</fb>
    <v>6</v>
  </rv>
  <rv s="3">
    <fb>44896</fb>
    <v>5</v>
  </rv>
  <rv s="3">
    <fb>45261</fb>
    <v>5</v>
  </rv>
  <rv s="3">
    <fb>44168</fb>
    <v>5</v>
  </rv>
  <rv s="3">
    <fb>36.58</fb>
    <v>6</v>
  </rv>
  <rv s="3">
    <fb>44536</fb>
    <v>5</v>
  </rv>
  <rv s="3">
    <fb>44897</fb>
    <v>5</v>
  </rv>
  <rv s="3">
    <fb>23.97</fb>
    <v>6</v>
  </rv>
  <rv s="3">
    <fb>45264</fb>
    <v>5</v>
  </rv>
  <rv s="3">
    <fb>44169</fb>
    <v>5</v>
  </rv>
  <rv s="3">
    <fb>37.54</fb>
    <v>6</v>
  </rv>
  <rv s="3">
    <fb>44537</fb>
    <v>5</v>
  </rv>
  <rv s="3">
    <fb>44900</fb>
    <v>5</v>
  </rv>
  <rv s="3">
    <fb>24.24</fb>
    <v>6</v>
  </rv>
  <rv s="3">
    <fb>45265</fb>
    <v>5</v>
  </rv>
  <rv s="3">
    <fb>44172</fb>
    <v>5</v>
  </rv>
  <rv s="3">
    <fb>44538</fb>
    <v>5</v>
  </rv>
  <rv s="3">
    <fb>44901</fb>
    <v>5</v>
  </rv>
  <rv s="3">
    <fb>45266</fb>
    <v>5</v>
  </rv>
  <rv s="3">
    <fb>44173</fb>
    <v>5</v>
  </rv>
  <rv s="3">
    <fb>37.200000000000003</fb>
    <v>6</v>
  </rv>
  <rv s="3">
    <fb>44539</fb>
    <v>5</v>
  </rv>
  <rv s="3">
    <fb>25.23</fb>
    <v>6</v>
  </rv>
  <rv s="3">
    <fb>44902</fb>
    <v>5</v>
  </rv>
  <rv s="3">
    <fb>23.95</fb>
    <v>6</v>
  </rv>
  <rv s="3">
    <fb>45267</fb>
    <v>5</v>
  </rv>
  <rv s="3">
    <fb>22</fb>
    <v>6</v>
  </rv>
  <rv s="3">
    <fb>44174</fb>
    <v>5</v>
  </rv>
  <rv s="3">
    <fb>44540</fb>
    <v>5</v>
  </rv>
  <rv s="3">
    <fb>44903</fb>
    <v>5</v>
  </rv>
  <rv s="3">
    <fb>24.15</fb>
    <v>6</v>
  </rv>
  <rv s="3">
    <fb>45268</fb>
    <v>5</v>
  </rv>
  <rv s="3">
    <fb>44175</fb>
    <v>5</v>
  </rv>
  <rv s="3">
    <fb>37.9</fb>
    <v>6</v>
  </rv>
  <rv s="3">
    <fb>44543</fb>
    <v>5</v>
  </rv>
  <rv s="3">
    <fb>24.64</fb>
    <v>6</v>
  </rv>
  <rv s="3">
    <fb>44904</fb>
    <v>5</v>
  </rv>
  <rv s="3">
    <fb>24.07</fb>
    <v>6</v>
  </rv>
  <rv s="3">
    <fb>45271</fb>
    <v>5</v>
  </rv>
  <rv s="3">
    <fb>44176</fb>
    <v>5</v>
  </rv>
  <rv s="3">
    <fb>38</fb>
    <v>6</v>
  </rv>
  <rv s="3">
    <fb>44544</fb>
    <v>5</v>
  </rv>
  <rv s="3">
    <fb>24.56</fb>
    <v>6</v>
  </rv>
  <rv s="3">
    <fb>44907</fb>
    <v>5</v>
  </rv>
  <rv s="3">
    <fb>23.89</fb>
    <v>6</v>
  </rv>
  <rv s="3">
    <fb>45272</fb>
    <v>5</v>
  </rv>
  <rv s="3">
    <fb>44179</fb>
    <v>5</v>
  </rv>
  <rv s="3">
    <fb>44545</fb>
    <v>5</v>
  </rv>
  <rv s="3">
    <fb>44908</fb>
    <v>5</v>
  </rv>
  <rv s="3">
    <fb>24.22</fb>
    <v>6</v>
  </rv>
  <rv s="3">
    <fb>45273</fb>
    <v>5</v>
  </rv>
  <rv s="3">
    <fb>22.2</fb>
    <v>6</v>
  </rv>
  <rv s="3">
    <fb>44180</fb>
    <v>5</v>
  </rv>
  <rv s="3">
    <fb>37.78</fb>
    <v>6</v>
  </rv>
  <rv s="3">
    <fb>44546</fb>
    <v>5</v>
  </rv>
  <rv s="3">
    <fb>44909</fb>
    <v>5</v>
  </rv>
  <rv s="3">
    <fb>45274</fb>
    <v>5</v>
  </rv>
  <rv s="3">
    <fb>22.48</fb>
    <v>6</v>
  </rv>
  <rv s="3">
    <fb>44181</fb>
    <v>5</v>
  </rv>
  <rv s="3">
    <fb>37.42</fb>
    <v>6</v>
  </rv>
  <rv s="3">
    <fb>44547</fb>
    <v>5</v>
  </rv>
  <rv s="3">
    <fb>25.87</fb>
    <v>6</v>
  </rv>
  <rv s="3">
    <fb>44910</fb>
    <v>5</v>
  </rv>
  <rv s="3">
    <fb>45275</fb>
    <v>5</v>
  </rv>
  <rv s="3">
    <fb>44182</fb>
    <v>5</v>
  </rv>
  <rv s="3">
    <fb>44550</fb>
    <v>5</v>
  </rv>
  <rv s="3">
    <fb>44911</fb>
    <v>5</v>
  </rv>
  <rv s="3">
    <fb>45278</fb>
    <v>5</v>
  </rv>
  <rv s="3">
    <fb>44183</fb>
    <v>5</v>
  </rv>
  <rv s="3">
    <fb>37.1</fb>
    <v>6</v>
  </rv>
  <rv s="3">
    <fb>44551</fb>
    <v>5</v>
  </rv>
  <rv s="3">
    <fb>25.65</fb>
    <v>6</v>
  </rv>
  <rv s="3">
    <fb>44914</fb>
    <v>5</v>
  </rv>
  <rv s="3">
    <fb>24.27</fb>
    <v>6</v>
  </rv>
  <rv s="3">
    <fb>45279</fb>
    <v>5</v>
  </rv>
  <rv s="3">
    <fb>44186</fb>
    <v>5</v>
  </rv>
  <rv s="3">
    <fb>36.74</fb>
    <v>6</v>
  </rv>
  <rv s="3">
    <fb>44552</fb>
    <v>5</v>
  </rv>
  <rv s="3">
    <fb>44915</fb>
    <v>5</v>
  </rv>
  <rv s="3">
    <fb>24.23</fb>
    <v>6</v>
  </rv>
  <rv s="3">
    <fb>45280</fb>
    <v>5</v>
  </rv>
  <rv s="3">
    <fb>44187</fb>
    <v>5</v>
  </rv>
  <rv s="3">
    <fb>37.46</fb>
    <v>6</v>
  </rv>
  <rv s="3">
    <fb>44553</fb>
    <v>5</v>
  </rv>
  <rv s="3">
    <fb>26.7</fb>
    <v>6</v>
  </rv>
  <rv s="3">
    <fb>44916</fb>
    <v>5</v>
  </rv>
  <rv s="3">
    <fb>24.76</fb>
    <v>6</v>
  </rv>
  <rv s="3">
    <fb>45281</fb>
    <v>5</v>
  </rv>
  <rv s="3">
    <fb>44188</fb>
    <v>5</v>
  </rv>
  <rv s="3">
    <fb>44554</fb>
    <v>5</v>
  </rv>
  <rv s="3">
    <fb>44917</fb>
    <v>5</v>
  </rv>
  <rv s="3">
    <fb>24.65</fb>
    <v>6</v>
  </rv>
  <rv s="3">
    <fb>45282</fb>
    <v>5</v>
  </rv>
  <rv s="3">
    <fb>44189</fb>
    <v>5</v>
  </rv>
  <rv s="3">
    <fb>44557</fb>
    <v>5</v>
  </rv>
  <rv s="3">
    <fb>44918</fb>
    <v>5</v>
  </rv>
  <rv s="3">
    <fb>24.62</fb>
    <v>6</v>
  </rv>
  <rv s="3">
    <fb>45287</fb>
    <v>5</v>
  </rv>
  <rv s="3">
    <fb>44193</fb>
    <v>5</v>
  </rv>
  <rv s="3">
    <fb>38.14</fb>
    <v>6</v>
  </rv>
  <rv s="3">
    <fb>44558</fb>
    <v>5</v>
  </rv>
  <rv s="3">
    <fb>26.55</fb>
    <v>6</v>
  </rv>
  <rv s="3">
    <fb>44922</fb>
    <v>5</v>
  </rv>
  <rv s="3">
    <fb>45288</fb>
    <v>5</v>
  </rv>
  <rv s="3">
    <fb>44194</fb>
    <v>5</v>
  </rv>
  <rv s="3">
    <fb>38.26</fb>
    <v>6</v>
  </rv>
  <rv s="3">
    <fb>44559</fb>
    <v>5</v>
  </rv>
  <rv s="3">
    <fb>26.83</fb>
    <v>6</v>
  </rv>
  <rv s="3">
    <fb>44923</fb>
    <v>5</v>
  </rv>
  <rv s="3">
    <fb>24.74</fb>
    <v>6</v>
  </rv>
  <rv s="3">
    <fb>45289</fb>
    <v>5</v>
  </rv>
  <rv s="3">
    <fb>22.5</fb>
    <v>6</v>
  </rv>
  <rv s="3">
    <fb>44195</fb>
    <v>5</v>
  </rv>
  <rv s="3">
    <fb>44560</fb>
    <v>5</v>
  </rv>
  <rv s="3">
    <fb>44924</fb>
    <v>5</v>
  </rv>
  <rv s="3">
    <fb>24.89</fb>
    <v>6</v>
  </rv>
  <rv s="3">
    <fb>44196</fb>
    <v>5</v>
  </rv>
  <rv s="3">
    <fb>44561</fb>
    <v>5</v>
  </rv>
  <rv s="3">
    <fb>44925</fb>
    <v>5</v>
  </rv>
  <rv s="3">
    <fb>24.6</fb>
    <v>6</v>
  </rv>
  <rv s="4">
    <v>7</v>
    <v>ae9x7w</v>
    <v>Daily</v>
    <v>44927</v>
    <v>45291</v>
    <v>0</v>
    <v>1</v>
    <v>638394048000000000,638595842808829037,0</v>
    <v>0</v>
    <v>ae9x7w</v>
    <v>XPAR:RUI</v>
    <v>1</v>
  </rv>
  <rv s="4">
    <v>7</v>
    <v>ae9x7w</v>
    <v>Daily</v>
    <v>44562</v>
    <v>44926</v>
    <v>0</v>
    <v>1</v>
    <v>638079552000000000,638595842808858913,0</v>
    <v>2</v>
    <v>ae9x7w</v>
    <v>XPAR:RUI</v>
    <v>3</v>
  </rv>
  <rv s="4">
    <v>7</v>
    <v>ae9x7w</v>
    <v>Daily</v>
    <v>44197</v>
    <v>44561</v>
    <v>0</v>
    <v>1</v>
    <v>637765056000000000,638595842808878829,0</v>
    <v>4</v>
    <v>ae9x7w</v>
    <v>XPAR:RUI</v>
    <v>5</v>
  </rv>
  <rv s="4">
    <v>7</v>
    <v>ae9x7w</v>
    <v>Daily</v>
    <v>43831</v>
    <v>44196</v>
    <v>0</v>
    <v>1</v>
    <v>637449696000000000,638595842808908754,0</v>
    <v>6</v>
    <v>ae9x7w</v>
    <v>XPAR:RUI</v>
    <v>7</v>
  </rv>
</rvData>
</file>

<file path=xl/richData/rdrichvaluestructure.xml><?xml version="1.0" encoding="utf-8"?>
<rvStructures xmlns="http://schemas.microsoft.com/office/spreadsheetml/2017/richdata" count="5">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formattednumber">
    <k n="_Format" t="spb"/>
  </s>
  <s t="_stockhistorycache">
    <k n="_Format" t="spb"/>
    <k n="Symbol" t="s"/>
    <k n="Interval" t="s"/>
    <k n="StartDate" t="i"/>
    <k n="EndDate" t="i"/>
    <k n="f1904" t="b"/>
    <k n="fdcompat" t="b"/>
    <k n="etag" t="s"/>
    <k n="Date" t="a"/>
    <k n="EntityId" t="s"/>
    <k n="Instrument" t="s"/>
    <k n="Close" t="a"/>
  </s>
</rvStructures>
</file>

<file path=xl/richData/rdsupportingpropertybag.xml><?xml version="1.0" encoding="utf-8"?>
<supportingPropertyBags xmlns="http://schemas.microsoft.com/office/spreadsheetml/2017/richdata2">
  <spbArrays count="1">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8">
    <spb s="0">
      <v>0</v>
      <v>Name</v>
      <v>LearnMoreOnLink</v>
    </spb>
    <spb s="1">
      <v>0</v>
      <v>0</v>
      <v>0</v>
    </spb>
    <spb s="2">
      <v>1</v>
      <v>1</v>
      <v>1</v>
      <v>1</v>
    </spb>
    <spb s="3">
      <v>1</v>
      <v>2</v>
      <v>2</v>
      <v>1</v>
      <v>3</v>
      <v>1</v>
      <v>1</v>
      <v>1</v>
      <v>4</v>
      <v>4</v>
      <v>5</v>
      <v>6</v>
      <v>1</v>
      <v>1</v>
      <v>1</v>
      <v>4</v>
      <v>7</v>
      <v>8</v>
      <v>9</v>
      <v>4</v>
    </spb>
    <spb s="4">
      <v>Delayed 15 minutes</v>
      <v>from previous close</v>
      <v>from previous close</v>
      <v>GMT</v>
    </spb>
    <spb s="5">
      <v>10</v>
    </spb>
    <spb s="5">
      <v>1</v>
    </spb>
    <spb s="6">
      <v>10</v>
      <v>1</v>
    </spb>
  </spbData>
</supportingPropertyBags>
</file>

<file path=xl/richData/rdsupportingpropertybagstructure.xml><?xml version="1.0" encoding="utf-8"?>
<spbStructures xmlns="http://schemas.microsoft.com/office/spreadsheetml/2017/richdata2" count="7">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Last trade time" t="s"/>
  </s>
  <s>
    <k n="_Self" t="i"/>
  </s>
  <s>
    <k n="Date" t="i"/>
    <k n="Clos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m/d/yyyy\ h:mm"/>
    </x:dxf>
    <x:dxf>
      <x:numFmt numFmtId="14" formatCode="0.00%"/>
    </x:dxf>
    <x:dxf>
      <x:numFmt numFmtId="3" formatCode="#,##0"/>
    </x:dxf>
    <x:dxf>
      <x:numFmt numFmtId="4" formatCode="#,##0.00"/>
    </x:dxf>
    <x:dxf>
      <x:numFmt numFmtId="1" formatCode="0"/>
    </x:dxf>
    <x:dxf>
      <x:numFmt numFmtId="19" formatCode="m/d/yyyy"/>
    </x:dxf>
  </dxfs>
  <richProperties>
    <rPr n="NumberFormat" t="s"/>
    <rPr n="IsTitleField" t="b"/>
  </richProperties>
  <richStyles>
    <rSty dxfid="1">
      <rpv i="0">_([$€-x-euro2] * #,##0.00_);_([$€-x-euro2] * (#,##0.00);_([$€-x-euro2] * "-"??_);_(@_)</rpv>
    </rSty>
    <rSty dxfid="5">
      <rpv i="0">#,##0.00</rpv>
    </rSty>
    <rSty>
      <rpv i="1">1</rpv>
    </rSty>
    <rSty dxfid="4">
      <rpv i="0">#,##0</rpv>
    </rSty>
    <rSty dxfid="3"/>
    <rSty dxfid="1">
      <rpv i="0">_([$€-x-euro2] * #,##0_);_([$€-x-euro2] * (#,##0);_([$€-x-euro2] * "-"_);_(@_)</rpv>
    </rSty>
    <rSty dxfid="2"/>
    <rSty dxfid="6">
      <rpv i="0">0</rpv>
    </rSty>
    <rSty dxfid="0">
      <rpv i="0">0.00</rpv>
    </rSty>
    <rSty dxfid="7"/>
  </richStyles>
</richStyleSheet>
</file>

<file path=xl/theme/theme1.xml><?xml version="1.0" encoding="utf-8"?>
<a:theme xmlns:a="http://schemas.openxmlformats.org/drawingml/2006/main" name="Office Theme">
  <a:themeElements>
    <a:clrScheme name="Yannick Laurent Research 2">
      <a:dk1>
        <a:sysClr val="windowText" lastClr="000000"/>
      </a:dk1>
      <a:lt1>
        <a:sysClr val="window" lastClr="FFFFFF"/>
      </a:lt1>
      <a:dk2>
        <a:srgbClr val="44546A"/>
      </a:dk2>
      <a:lt2>
        <a:srgbClr val="E7E6E6"/>
      </a:lt2>
      <a:accent1>
        <a:srgbClr val="002654"/>
      </a:accent1>
      <a:accent2>
        <a:srgbClr val="757070"/>
      </a:accent2>
      <a:accent3>
        <a:srgbClr val="105D47"/>
      </a:accent3>
      <a:accent4>
        <a:srgbClr val="0051B4"/>
      </a:accent4>
      <a:accent5>
        <a:srgbClr val="008C45"/>
      </a:accent5>
      <a:accent6>
        <a:srgbClr val="69ADFF"/>
      </a:accent6>
      <a:hlink>
        <a:srgbClr val="D4AF37"/>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8" dT="2023-12-06T19:45:32.41" personId="{0EA8FBA8-3289-4361-B502-556375082B8F}" id="{45F0E66A-54A4-400A-A1A1-017B25A10B02}">
    <text>Staff costs plus external expenses. External expenses are rent and fees. External expenses includes rent expense of 10,485 in 2022 and 8,992 in 2021 due to an IFRS rule that allows payments on leases that are short-term or low in value to be directly expensed.</text>
  </threadedComment>
  <threadedComment ref="C19" dT="2023-12-06T19:49:08.04" personId="{0EA8FBA8-3289-4361-B502-556375082B8F}" id="{F485DEE4-A83B-4927-9D16-CB047B68487C}">
    <text>Taxes other than income taxes, operating subsidies, misc. and unlabeled.</text>
  </threadedComment>
  <threadedComment ref="C20" dT="2024-02-28T01:50:51.05" personId="{0EA8FBA8-3289-4361-B502-556375082B8F}" id="{DF3A0B5C-AB3B-4D9C-B685-D12BDAC57E7A}">
    <text>Differs from reported EBITDA due to different treatments of the Other Operating Income and Other Operating Income and Expenses line items</text>
  </threadedComment>
  <threadedComment ref="C29" dT="2023-12-06T20:09:06.89" personId="{0EA8FBA8-3289-4361-B502-556375082B8F}" id="{4E6EBBFE-D5AF-4858-853B-704DF996B95A}">
    <text>FX gains and losses</text>
  </threadedComment>
  <threadedComment ref="D34" dT="2024-02-28T01:52:33.27" personId="{0EA8FBA8-3289-4361-B502-556375082B8F}" id="{7F745AF2-24D0-4877-89C5-62DD87BC90BE}">
    <text>Sale of a business</text>
  </threadedComment>
  <threadedComment ref="H34" dT="2024-05-20T23:35:26.67" personId="{0EA8FBA8-3289-4361-B502-556375082B8F}" id="{D37AC1D3-0EC5-47D1-868C-85B2A5431371}">
    <text>Capital gain on sale of Rubis Terminal. Source: Q1 2024 earnings call.</text>
  </threadedComment>
  <threadedComment ref="C37" dT="2024-05-16T01:57:23.81" personId="{0EA8FBA8-3289-4361-B502-556375082B8F}" id="{215A715F-5CB6-4611-A48D-08A75444ED08}">
    <text>From statement of changes in equity</text>
  </threadedComment>
  <threadedComment ref="C46" dT="2024-03-19T19:49:56.35" personId="{0EA8FBA8-3289-4361-B502-556375082B8F}" id="{8DE5D0BD-BA09-4DD0-9D43-A2FC7226B4B7}">
    <text>Rubis Terminal JV</text>
  </threadedComment>
  <threadedComment ref="F54" dT="2024-04-29T22:10:29.87" personId="{0EA8FBA8-3289-4361-B502-556375082B8F}" id="{8960B34C-938A-4DD9-8AE0-EC1298B86905}">
    <text xml:space="preserve">Changes in Scope recorded in the financial statements are related to the acquisition of Photosol under the equity method. Photosol's assets and liabilities are added to the Rubis balance sheet. The 20% not acquired is listed as a minority interest.
</text>
  </threadedComment>
  <threadedComment ref="C61" dT="2023-12-13T20:35:37.59" personId="{0EA8FBA8-3289-4361-B502-556375082B8F}" id="{39DE4B56-A729-41A7-B515-152FEFA34181}">
    <text>Reported as part of Other Current Assets.</text>
  </threadedComment>
  <threadedComment ref="C62" dT="2023-12-15T19:01:16.83" personId="{0EA8FBA8-3289-4361-B502-556375082B8F}" id="{086EDFAE-AAE6-42F2-BF7B-DA506275965A}">
    <text>Was separated into ST investments and prepaid expenses</text>
  </threadedComment>
  <threadedComment ref="C64" dT="2023-12-13T01:04:23.91" personId="{0EA8FBA8-3289-4361-B502-556375082B8F}" id="{2853B727-A7B9-4799-81FF-2ED5A2621284}">
    <text xml:space="preserve">Lease asset related to PP&amp;E. Is greater than the associated lease liability because IFRS requires that the asset include payments made before the lease begins, direct costs, and provisions/dismantling costs. These are in addition to the value of the liability which is the PV of future lease payments. </text>
  </threadedComment>
  <threadedComment ref="C67" dT="2024-02-09T00:15:55.54" personId="{0EA8FBA8-3289-4361-B502-556375082B8F}" id="{43F66B82-5818-435A-AB45-980CFC318B26}">
    <text>Note 9. Increases or decreases by share of JV's income.</text>
  </threadedComment>
  <threadedComment ref="C69" dT="2023-12-15T19:04:22.53" personId="{0EA8FBA8-3289-4361-B502-556375082B8F}" id="{D99982EE-2D00-4BAB-9EA5-B21AB0B75AE6}">
    <text>Repurposed to represent the series of payments for Rubis Terminal sale. Separated original financial statements line item into LT receivables and LT prepaid expenses.</text>
  </threadedComment>
  <threadedComment ref="C73" dT="2023-12-19T00:12:00.10" personId="{0EA8FBA8-3289-4361-B502-556375082B8F}" id="{55F8507E-BA0D-4301-BC7D-53EF65DD91DB}">
    <text>Appears as 'Bank Overdrafts' and Accrued Interest on Overdrafts in notes to short-term debt in note 4.10.1.</text>
  </threadedComment>
  <threadedComment ref="C76" dT="2023-12-19T21:33:36.99" personId="{0EA8FBA8-3289-4361-B502-556375082B8F}" id="{5E688277-7D56-4040-A8D8-7CECA9ACAE8A}">
    <text>All current debt not in revolver plus long-term debt.</text>
  </threadedComment>
  <threadedComment ref="C80" dT="2024-04-29T22:24:14.27" personId="{0EA8FBA8-3289-4361-B502-556375082B8F}" id="{0A9CB175-D12F-4863-B373-5E25E959FE3D}">
    <text>Other provisions + other non-current liabilities. Includes 82 million commitment to buy back all the Photosol shares (recorded under minority interests) that are still held by its founders (see note 3.2 of 2022 URD for details)</text>
  </threadedComment>
  <threadedComment ref="K80" dT="2024-05-16T21:45:44.13" personId="{0EA8FBA8-3289-4361-B502-556375082B8F}" id="{F394610F-5DC4-4417-921A-8113BB1B6827}">
    <text>Phase 1 of the buyback of the Photosol co-founders' minority interest. In 2022, Rubis recorded a liability (other non-current) related to their plan to make this transaction and decreased minority interests by the corresponding amount. Therefore, no further changes to minority interests are required. See note 3.2 in 2022 URD for details.</text>
  </threadedComment>
  <threadedComment ref="L80" dT="2024-05-16T21:45:51.96" personId="{0EA8FBA8-3289-4361-B502-556375082B8F}" id="{B6008C47-6D7E-42D2-B103-4084CFDF7F59}">
    <text>Phase 2 of the buyback of the Photosol co-founders' minority interest. In 2022, Rubis recorded a liability (other non-current) related to their plan to make this transaction and decreased minority interests by the corresponding amount. Therefore, no further changes to minority interests are required. See note 3.2 in 2022 URD for details.</text>
  </threadedComment>
  <threadedComment ref="C83" dT="2023-12-19T20:57:25.71" personId="{0EA8FBA8-3289-4361-B502-556375082B8F}" id="{A620749B-0A8A-44C9-969A-C21F72406094}">
    <text>Share capital + share premium (includes paid in capital)</text>
  </threadedComment>
  <threadedComment ref="C84" dT="2023-12-19T21:26:49.72" personId="{0EA8FBA8-3289-4361-B502-556375082B8F}" id="{270A2C3F-4427-46A4-B5D1-8CD3A37896B2}">
    <text>Includes translation differences in Equity statement. Balance sheet includes treasury stock in this line item.</text>
  </threadedComment>
  <threadedComment ref="C85" dT="2023-12-19T21:25:43.96" personId="{0EA8FBA8-3289-4361-B502-556375082B8F}" id="{AE8B692C-F653-456E-9945-CEEDF86068C6}">
    <text>From equity statement.</text>
  </threadedComment>
  <threadedComment ref="C121" dT="2024-02-10T00:17:54.56" personId="{0EA8FBA8-3289-4361-B502-556375082B8F}" id="{B44DFD37-CDAF-40B4-98A2-DABE0CDC9EA6}">
    <text>Added back as it's a noncash expense. IFRS allows classification as either CFO or CFF.</text>
  </threadedComment>
  <threadedComment ref="C122" dT="2024-02-10T00:17:22.33" personId="{0EA8FBA8-3289-4361-B502-556375082B8F}" id="{496D4DDD-022E-4C8B-BC36-C027105822AB}">
    <text>Actual cash outflow related to lease payments.</text>
  </threadedComment>
  <threadedComment ref="K127" dT="2024-05-16T21:45:26.75" personId="{0EA8FBA8-3289-4361-B502-556375082B8F}" id="{2EFCD8B8-542B-4C8D-AFF8-3F4C661223E3}">
    <text>Phase 1 of the buyback of the Photosol co-founders' minority interest. In 2022, Rubis recorded a liability (other non-current) related to their plan to make this transaction and decreased minority interests by the corresponding amount. Therefore, no further changes to minority interests are required. See note 3.2 in 2022 URD for details.</text>
  </threadedComment>
  <threadedComment ref="L127" dT="2024-05-16T21:45:34.49" personId="{0EA8FBA8-3289-4361-B502-556375082B8F}" id="{D4E33358-AE91-47CD-B9EC-467FB1FD62C2}">
    <text>Phase 2 of the buyback of the Photosol co-founders' minority interest. In 2022, Rubis recorded a liability (other non-current) related to their plan to make this transaction and decreased minority interests by the corresponding amount. Therefore, no further changes to minority interests are required. See note 3.2 in 2022 URD for details.</text>
  </threadedComment>
  <threadedComment ref="C186" dT="2024-05-10T22:15:11.87" personId="{0EA8FBA8-3289-4361-B502-556375082B8F}" id="{F63A5D48-D5E9-4633-8423-0A2859022A36}">
    <text>Assumes changes impact ST assets and LT liabilities</text>
  </threadedComment>
  <threadedComment ref="C192" dT="2024-05-10T22:39:23.22" personId="{0EA8FBA8-3289-4361-B502-556375082B8F}" id="{BA0E7A44-477C-4C4E-A355-34E828012CA3}">
    <text>Straight-line to reflect B/S assumption</text>
  </threadedComment>
  <threadedComment ref="C207" dT="2024-02-22T01:54:39.90" personId="{0EA8FBA8-3289-4361-B502-556375082B8F}" id="{001BA8E0-962B-4BF8-AC76-27F6C71CA07E}">
    <text>Acquisitions in note 4.1.1</text>
  </threadedComment>
  <threadedComment ref="H209" dT="2024-03-19T19:47:26.58" personId="{0EA8FBA8-3289-4361-B502-556375082B8F}" id="{5A291DB0-2D1B-42C7-94DA-60778E494EEA}">
    <text>Source: 2023 earnings call</text>
  </threadedComment>
  <threadedComment ref="H210" dT="2024-03-19T19:47:35.90" personId="{0EA8FBA8-3289-4361-B502-556375082B8F}" id="{6106C095-37BE-4F63-8D97-B7EB34F5B23C}">
    <text>Source: 2023 earnings call</text>
  </threadedComment>
  <threadedComment ref="C242" dT="2024-02-22T01:54:13.78" personId="{0EA8FBA8-3289-4361-B502-556375082B8F}" id="{B57A41D8-5E55-4AC1-8CB1-F46B9BD3CAC8}">
    <text>Acquisitions from note 4.3</text>
  </threadedComment>
  <threadedComment ref="H244" dT="2024-03-19T19:47:26.58" personId="{0EA8FBA8-3289-4361-B502-556375082B8F}" id="{A3BBC52D-0D69-44C4-9A89-4D6188CC4276}">
    <text>Source: 2023 earnings call</text>
  </threadedComment>
  <threadedComment ref="H245" dT="2024-03-19T19:47:35.90" personId="{0EA8FBA8-3289-4361-B502-556375082B8F}" id="{36851D49-5E46-44C0-87DA-71C273EBC3B7}">
    <text>Source: 2023 earnings call</text>
  </threadedComment>
  <threadedComment ref="C267" dT="2024-02-01T01:06:11.48" personId="{0EA8FBA8-3289-4361-B502-556375082B8F}" id="{41166A0E-A26C-479E-AA24-9D1EC126B845}">
    <text>Footnote 4.1.2</text>
  </threadedComment>
  <threadedComment ref="D269" dT="2024-02-21T23:30:20.89" personId="{0EA8FBA8-3289-4361-B502-556375082B8F}" id="{E97D0DAD-9715-4377-A368-0A7075DC2672}">
    <text xml:space="preserve">Excludes the 12,126 due to consolidation of Gulf Energy.
</text>
  </threadedComment>
  <threadedComment ref="F269" dT="2024-02-21T23:30:32.61" personId="{0EA8FBA8-3289-4361-B502-556375082B8F}" id="{87F345D4-7A12-4918-87C9-2D1FC7378C3D}">
    <text xml:space="preserve">Excludes the 51,630 increase due to the Photosol acquisition.
</text>
  </threadedComment>
  <threadedComment ref="C270" dT="2024-04-29T23:46:52.29" personId="{0EA8FBA8-3289-4361-B502-556375082B8F}" id="{E3DEE5B5-EB32-4F1B-BEF5-D82737168901}">
    <text>Calculated as the difference between accumulated depreciations in note 4.1.2</text>
  </threadedComment>
  <threadedComment ref="C290" dT="2024-02-01T01:31:05.83" personId="{0EA8FBA8-3289-4361-B502-556375082B8F}" id="{0D8CE125-086A-4643-B958-0D6C80130DD5}">
    <text>Note 4.10.1</text>
  </threadedComment>
  <threadedComment ref="D292" dT="2024-02-02T22:58:26.19" personId="{0EA8FBA8-3289-4361-B502-556375082B8F}" id="{3D407309-71E7-4955-9A03-8C0B3630AE27}">
    <text>2,230 change in scope related to the consolidation of Gulf Energy.</text>
  </threadedComment>
  <threadedComment ref="F292" dT="2024-01-24T00:58:30.64" personId="{0EA8FBA8-3289-4361-B502-556375082B8F}" id="{27C7396E-C760-490B-8E8E-475CF613F2BE}">
    <text>Addition of 49,533 related to the Photosol acquisition.</text>
  </threadedComment>
  <threadedComment ref="F293" dT="2024-01-24T01:04:00.86" personId="{0EA8FBA8-3289-4361-B502-556375082B8F}" id="{E7045F80-9B67-40AF-B300-8A3149F25586}">
    <text>2022 annual report pg. 259 and SCF</text>
  </threadedComment>
  <threadedComment ref="H310" dT="2024-05-20T23:39:28.51" personId="{0EA8FBA8-3289-4361-B502-556375082B8F}" id="{E2BB3083-61CC-4937-A9BF-C4E028962584}">
    <text>Hard coded in the 75m distribution of capital gains from Terminals sale</text>
  </threadedComment>
  <threadedComment ref="H313" dT="2024-06-06T22:01:23.51" personId="{0EA8FBA8-3289-4361-B502-556375082B8F}" id="{1F00A3BA-EE48-4FA2-B786-8B9CC111F498}">
    <text>Makes total dividend per share consistent with 2024 guidance of 1.92 + 0.75 (from rubis terminal disposal)</text>
  </threadedComment>
  <threadedComment ref="C320" dT="2023-12-19T21:37:24.03" personId="{0EA8FBA8-3289-4361-B502-556375082B8F}" id="{E5C69E4B-FEC7-4F41-BE4C-B16D35A99F78}">
    <text>Includes portion attributed to retained earnings in financial reports.</text>
  </threadedComment>
  <threadedComment ref="F335" dT="2023-12-20T00:16:32.52" personId="{0EA8FBA8-3289-4361-B502-556375082B8F}" id="{EAF0881C-7AC4-41FE-81C6-970A8E93698B}">
    <text>There was a large, one-time, change in scope in 2022 related to the Photosol acquisition that is not reflected in this schedule.</text>
  </threadedComment>
  <threadedComment ref="C372" dT="2023-12-20T00:35:35.52" personId="{0EA8FBA8-3289-4361-B502-556375082B8F}" id="{812489EA-1914-4E01-A059-F37F85C07F3A}">
    <text>RUBIS does not disclose separate interest rates and interest expenses by debt type. If this data is found, split schedule into revolver and term debt.</text>
  </threadedComment>
</ThreadedComments>
</file>

<file path=xl/threadedComments/threadedComment2.xml><?xml version="1.0" encoding="utf-8"?>
<ThreadedComments xmlns="http://schemas.microsoft.com/office/spreadsheetml/2018/threadedcomments" xmlns:x="http://schemas.openxmlformats.org/spreadsheetml/2006/main">
  <threadedComment ref="G9" dT="2024-04-30T21:31:48.58" personId="{0EA8FBA8-3289-4361-B502-556375082B8F}" id="{D18FA0D0-01D3-41D2-80D1-4040FA05EAEF}">
    <text>Does not match value on the income statement because certain disclosures are rounded to the nearest million euro.</text>
  </threadedComment>
</ThreadedComments>
</file>

<file path=xl/threadedComments/threadedComment3.xml><?xml version="1.0" encoding="utf-8"?>
<ThreadedComments xmlns="http://schemas.microsoft.com/office/spreadsheetml/2018/threadedcomments" xmlns:x="http://schemas.openxmlformats.org/spreadsheetml/2006/main">
  <threadedComment ref="C19" dT="2024-02-16T00:48:53.67" personId="{0EA8FBA8-3289-4361-B502-556375082B8F}" id="{8D5DF3FD-71A7-4771-BAFB-90B7BEF58BAE}">
    <text>Modeled on a per-region basis due to insufficient product-level data.</text>
  </threadedComment>
  <threadedComment ref="G22" dT="2024-04-30T17:48:42.30" personId="{0EA8FBA8-3289-4361-B502-556375082B8F}" id="{98EE6957-4AD6-4BD1-8627-4C48631ECC04}">
    <text>Note 5.1 (revenues) now consolidates the entire Energies segment rather than disclosing individual sub-groups. Therefore, data was pulled from the Operating Results section which rounds to the nearest million.</text>
  </threadedComment>
  <threadedComment ref="C32" dT="2024-03-14T20:18:56.72" personId="{0EA8FBA8-3289-4361-B502-556375082B8F}" id="{F312DF95-5364-4F6E-9ED6-E297C11906F2}">
    <text>Used to calculate revenue</text>
  </threadedComment>
  <threadedComment ref="C39" dT="2024-03-14T22:27:44.88" personId="{0EA8FBA8-3289-4361-B502-556375082B8F}" id="{8DB153FB-E7DC-4CD7-85CF-0EF400B8D28D}">
    <text>Expand grouped cells to input product-level volumes</text>
  </threadedComment>
  <threadedComment ref="E50" dT="2024-05-07T21:21:10.89" personId="{0EA8FBA8-3289-4361-B502-556375082B8F}" id="{A9A3009D-3972-44E4-8C08-38A1437E1FBA}">
    <text>Half of pre-pandemic volumes of roughly 375</text>
  </threadedComment>
  <threadedComment ref="E90" dT="2024-05-07T21:23:18.92" personId="{0EA8FBA8-3289-4361-B502-556375082B8F}" id="{1BBA5904-D96F-4A37-8C94-D66191C1D132}">
    <text>From Haiti situation</text>
  </threadedComment>
  <threadedComment ref="D124" dT="2024-02-28T01:26:34.12" personId="{0EA8FBA8-3289-4361-B502-556375082B8F}" id="{0A32E8E0-D414-4E10-8A6C-1F1F990E125A}">
    <text xml:space="preserve">Source: 2021 annual report pg. 39
</text>
  </threadedComment>
  <threadedComment ref="E124" dT="2024-02-28T01:26:20.82" personId="{0EA8FBA8-3289-4361-B502-556375082B8F}" id="{FDE8607E-354F-46EF-B89F-B4D46C221653}">
    <text>Source: 2021 annual report pg. 39</text>
  </threadedComment>
  <threadedComment ref="F124" dT="2024-02-28T01:25:58.75" personId="{0EA8FBA8-3289-4361-B502-556375082B8F}" id="{C8ED48EF-C855-4642-BE22-D249F5378286}">
    <text>Source: FY 2022 financial results press release</text>
  </threadedComment>
  <threadedComment ref="G124" dT="2024-04-30T18:22:42.82" personId="{0EA8FBA8-3289-4361-B502-556375082B8F}" id="{ED8C4FA7-F070-4F28-92F7-E57D548FF035}">
    <text>Source: 2023 URD. Note: these are adjusted margins pending the disclosure of unadjusted margins.</text>
  </threadedComment>
  <threadedComment ref="F142" dT="2024-02-16T00:23:29.02" personId="{0EA8FBA8-3289-4361-B502-556375082B8F}" id="{26F1C06B-8A12-4140-B8C2-93860C044556}">
    <text>Adjusted for FX passthrough in Nigeria, otherwise would have been 801 million</text>
  </threadedComment>
  <threadedComment ref="C180" dT="2024-02-17T01:15:15.03" personId="{0EA8FBA8-3289-4361-B502-556375082B8F}" id="{D115002C-DDCE-4A99-B65F-D8CDDCC74E72}">
    <text>Source: Note 5.1. Revenue includes pipe and port operations in the Caribbean and Indian Ocean. However, these and vessel revenues are not broken out separately in company disclosures.</text>
  </threadedComment>
  <threadedComment ref="C183" dT="2024-04-01T20:43:09.35" personId="{0EA8FBA8-3289-4361-B502-556375082B8F}" id="{CADABA9A-5C0E-47B5-BAB4-90D09E3A96A0}">
    <text xml:space="preserve">Source: Baltic Dirty Tanker Index Today (BAID) - Investing.com </text>
    <extLst>
      <x:ext xmlns:xltc2="http://schemas.microsoft.com/office/spreadsheetml/2020/threadedcomments2" uri="{F7C98A9C-CBB3-438F-8F68-D28B6AF4A901}">
        <xltc2:checksum>3405420670</xltc2:checksum>
        <xltc2:hyperlink startIndex="8" length="54" url="https://www.investing.com/indices/baltic-dirty-tanker"/>
      </x:ext>
    </extLst>
  </threadedComment>
  <threadedComment ref="C198" dT="2024-02-17T01:09:43.98" personId="{0EA8FBA8-3289-4361-B502-556375082B8F}" id="{95582D16-DEAD-4640-80CA-15E40DF6F71D}">
    <text xml:space="preserve">Rubis does not disclose detailed refining data. Assumptions were made based off of industry statistics to approximate revenue per barrel, COGS, and margins </text>
  </threadedComment>
  <threadedComment ref="C200" dT="2024-04-02T18:21:50.62" personId="{0EA8FBA8-3289-4361-B502-556375082B8F}" id="{AB1E62CB-B782-4410-937C-1AD24C81BC14}">
    <text>This is how Rubis reports its refining capacity</text>
  </threadedComment>
  <threadedComment ref="C201" dT="2024-04-02T18:10:21.97" personId="{0EA8FBA8-3289-4361-B502-556375082B8F}" id="{4085188F-4FC2-4727-A4F0-1256029B308C}">
    <text>Source: BP for a basket of products</text>
  </threadedComment>
  <threadedComment ref="C202" dT="2024-04-02T19:05:07.69" personId="{0EA8FBA8-3289-4361-B502-556375082B8F}" id="{501317F8-46EF-4D45-B104-8A9ECF67A3DF}">
    <text>Ignores fluctuations in refinery usage due to lack of data</text>
  </threadedComment>
  <threadedComment ref="C220" dT="2024-02-24T00:39:08.30" personId="{0EA8FBA8-3289-4361-B502-556375082B8F}" id="{1219A772-E38B-4005-BDF7-79051FB275D0}">
    <text>Source: U.S. Energy Information Administration</text>
  </threadedComment>
  <threadedComment ref="C232" dT="2024-02-24T00:43:14.01" personId="{0EA8FBA8-3289-4361-B502-556375082B8F}" id="{7FB8CF94-7411-4DA5-930A-475221B7E15E}">
    <text>1 barrel of oil is equal 6.289811 cubic meters of oil</text>
  </threadedComment>
  <threadedComment ref="C233" dT="2024-02-26T23:35:39.28" personId="{0EA8FBA8-3289-4361-B502-556375082B8F}" id="{532EDE55-A470-496B-BF43-FC2271099877}">
    <text>Source: ECB</text>
  </threadedComment>
  <threadedComment ref="C235" dT="2024-03-02T00:47:58.45" personId="{0EA8FBA8-3289-4361-B502-556375082B8F}" id="{B9798375-6E6C-43E9-B82E-24A1ADFE8060}">
    <text>Ignores FX impacts</text>
  </threadedComment>
  <threadedComment ref="C236" dT="2024-03-02T00:48:00.94" personId="{0EA8FBA8-3289-4361-B502-556375082B8F}" id="{D0381A12-1A79-4E92-BCB1-02641EB64DFE}">
    <text>Ignores FX impacts</text>
  </threadedComment>
  <threadedComment ref="C237" dT="2024-03-02T00:48:03.23" personId="{0EA8FBA8-3289-4361-B502-556375082B8F}" id="{B3CECC4F-86AD-4F8D-99EE-CD42A45E6312}">
    <text>Ignores FX impacts</text>
  </threadedComment>
  <threadedComment ref="C238" dT="2024-03-02T00:48:09.48" personId="{0EA8FBA8-3289-4361-B502-556375082B8F}" id="{C43D600D-5B55-4E9E-8A70-3AC7444A45F5}">
    <text>Ignores FX impacts</text>
  </threadedComment>
</ThreadedComments>
</file>

<file path=xl/threadedComments/threadedComment4.xml><?xml version="1.0" encoding="utf-8"?>
<ThreadedComments xmlns="http://schemas.microsoft.com/office/spreadsheetml/2018/threadedcomments" xmlns:x="http://schemas.openxmlformats.org/spreadsheetml/2006/main">
  <threadedComment ref="C10" dT="2024-02-21T02:20:57.26" personId="{0EA8FBA8-3289-4361-B502-556375082B8F}" id="{03F184DD-466A-4417-96A7-5BDA4FDA0031}">
    <text>The maximum capacity, measured under ideal laboratory conditions.</text>
  </threadedComment>
  <threadedComment ref="C11" dT="2024-02-21T02:21:07.10" personId="{0EA8FBA8-3289-4361-B502-556375082B8F}" id="{19FF85D3-71B9-4C3E-9211-22C079DB1683}">
    <text>Actual output.</text>
  </threadedComment>
  <threadedComment ref="C12" dT="2024-02-23T00:09:08.87" personId="{0EA8FBA8-3289-4361-B502-556375082B8F}" id="{2330EDBF-F5C2-408C-86EE-A776D3A6ED79}">
    <text>Represents the fact that solar plants do not operate 24/7 under perfect conditions. Note: there are 1,000 MW per GW.</text>
  </threadedComment>
  <threadedComment ref="C20" dT="2024-03-02T01:13:17.85" personId="{0EA8FBA8-3289-4361-B502-556375082B8F}" id="{E782BF34-4584-447D-8B94-745C90A91192}">
    <text>2022 annual report. Calculated off of management's target of 1000 MWp of capacity installed by 2026 for a total investment of 700m euros.</text>
  </threadedComment>
</ThreadedComments>
</file>

<file path=xl/threadedComments/threadedComment5.xml><?xml version="1.0" encoding="utf-8"?>
<ThreadedComments xmlns="http://schemas.microsoft.com/office/spreadsheetml/2018/threadedcomments" xmlns:x="http://schemas.openxmlformats.org/spreadsheetml/2006/main">
  <threadedComment ref="C10" dT="2024-04-30T20:52:06.62" personId="{0EA8FBA8-3289-4361-B502-556375082B8F}" id="{740F431E-5A9E-4C2B-9E0F-7B11343832A7}">
    <text>All shares were cancelled in FY 2023</text>
  </threadedComment>
  <threadedComment ref="C11" dT="2024-04-30T20:52:59.40" personId="{0EA8FBA8-3289-4361-B502-556375082B8F}" id="{2CEDF134-1128-4588-96F2-44F5FA82D93F}">
    <text>2,762 shares cancelled in FY2023</text>
  </threadedComment>
  <threadedComment ref="C20" dT="2024-05-16T20:33:31.84" personId="{0EA8FBA8-3289-4361-B502-556375082B8F}" id="{952E0E17-E6C7-489F-9526-4FEBBDB411C1}">
    <text>Placeholder, Rubis has no convertible securities</text>
  </threadedComment>
</ThreadedComments>
</file>

<file path=xl/threadedComments/threadedComment6.xml><?xml version="1.0" encoding="utf-8"?>
<ThreadedComments xmlns="http://schemas.microsoft.com/office/spreadsheetml/2018/threadedcomments" xmlns:x="http://schemas.openxmlformats.org/spreadsheetml/2006/main">
  <threadedComment ref="C22" dT="2024-05-16T21:48:03.09" personId="{0EA8FBA8-3289-4361-B502-556375082B8F}" id="{69C8EB81-66C6-4D49-871D-74713CA03265}">
    <text>Used to account for the repayment of Photosol founders. See note 3.2 of 2022 URD for details.</text>
  </threadedComment>
  <threadedComment ref="C29" dT="2024-05-16T21:48:03.09" personId="{0EA8FBA8-3289-4361-B502-556375082B8F}" id="{29B76B47-0424-43A9-A8D9-C756E13FDB24}">
    <text>Used to account for the repayment of Photosol founders. See note 3.2 of 2022 URD for details.</text>
  </threadedComment>
  <threadedComment ref="J81" dT="2024-05-10T21:18:32.95" personId="{0EA8FBA8-3289-4361-B502-556375082B8F}" id="{EEFFA260-3E3F-40BB-B60B-22FEEBDF76E9}">
    <text>French 30 year government bond yield</text>
  </threadedComment>
  <threadedComment ref="H83" dT="2024-04-17T19:39:37.86" personId="{0EA8FBA8-3289-4361-B502-556375082B8F}" id="{852BA63C-5E9C-4E93-8297-47FD7617EABC}">
    <text xml:space="preserve">Source: pages.stern.nyu.edu/~adamodar/New_Home_Page/datafile/ctryprem.html </text>
    <extLst>
      <x:ext xmlns:xltc2="http://schemas.microsoft.com/office/spreadsheetml/2020/threadedcomments2" uri="{F7C98A9C-CBB3-438F-8F68-D28B6AF4A901}">
        <xltc2:checksum>2338197532</xltc2:checksum>
        <xltc2:hyperlink startIndex="8" length="66" url="https://pages.stern.nyu.edu/~adamodar/New_Home_Page/datafile/ctryprem.html"/>
      </x:ext>
    </extLs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27177-3DB2-4118-9738-1C09F61579B9}">
  <sheetPr codeName="Sheet1"/>
  <dimension ref="C1:D32"/>
  <sheetViews>
    <sheetView workbookViewId="0">
      <selection activeCell="I27" sqref="I27"/>
    </sheetView>
  </sheetViews>
  <sheetFormatPr defaultRowHeight="14.4" x14ac:dyDescent="0.3"/>
  <cols>
    <col min="1" max="2" width="1.77734375" customWidth="1"/>
    <col min="3" max="3" width="35.44140625" bestFit="1" customWidth="1"/>
    <col min="4" max="4" width="20.5546875" bestFit="1" customWidth="1"/>
  </cols>
  <sheetData>
    <row r="1" spans="3:4" ht="15" thickBot="1" x14ac:dyDescent="0.35"/>
    <row r="2" spans="3:4" ht="15" thickBot="1" x14ac:dyDescent="0.35">
      <c r="C2" s="18" t="str" cm="1">
        <f t="array" aca="1" ref="C2" ca="1">"Model for "&amp;_FV(D4,"Name")&amp;" Cover Page"</f>
        <v>Model for Rubis SCA Cover Page</v>
      </c>
      <c r="D2" s="17"/>
    </row>
    <row r="4" spans="3:4" x14ac:dyDescent="0.3">
      <c r="C4" t="s">
        <v>0</v>
      </c>
      <c r="D4" s="4" t="e" vm="1">
        <v>#VALUE!</v>
      </c>
    </row>
    <row r="5" spans="3:4" x14ac:dyDescent="0.3">
      <c r="C5" t="s">
        <v>1</v>
      </c>
      <c r="D5" s="189" t="str" cm="1">
        <f t="array" aca="1" ref="D5" ca="1">_FV(D4,"Ticker symbol",TRUE)</f>
        <v>RUI</v>
      </c>
    </row>
    <row r="6" spans="3:4" x14ac:dyDescent="0.3">
      <c r="C6" t="s">
        <v>473</v>
      </c>
      <c r="D6" s="61" t="str" cm="1">
        <f t="array" aca="1" ref="D6" ca="1">_FV(D4,"Industry")</f>
        <v>Oil &amp; Gas</v>
      </c>
    </row>
    <row r="7" spans="3:4" x14ac:dyDescent="0.3">
      <c r="C7" t="s">
        <v>2</v>
      </c>
      <c r="D7" s="13" cm="1">
        <f t="array" aca="1" ref="D7" ca="1">_FV(D4,"Price")</f>
        <v>22.38</v>
      </c>
    </row>
    <row r="8" spans="3:4" x14ac:dyDescent="0.3">
      <c r="C8" t="s">
        <v>469</v>
      </c>
      <c r="D8" s="13" cm="1">
        <f t="array" aca="1" ref="D8" ca="1">_FV(D4,"52 week high",TRUE)</f>
        <v>33.15</v>
      </c>
    </row>
    <row r="9" spans="3:4" x14ac:dyDescent="0.3">
      <c r="C9" t="s">
        <v>470</v>
      </c>
      <c r="D9" s="13" cm="1">
        <f t="array" aca="1" ref="D9" ca="1">_FV(D4,"52 week low",TRUE)</f>
        <v>20.72</v>
      </c>
    </row>
    <row r="10" spans="3:4" x14ac:dyDescent="0.3">
      <c r="C10" t="s">
        <v>505</v>
      </c>
      <c r="D10" s="227" cm="1">
        <f t="array" aca="1" ref="D10" ca="1">_FV(D4,"Market cap",TRUE)/1000000</f>
        <v>2358.0949999999998</v>
      </c>
    </row>
    <row r="11" spans="3:4" x14ac:dyDescent="0.3">
      <c r="C11" t="s">
        <v>471</v>
      </c>
      <c r="D11" s="214" cm="1">
        <f t="array" aca="1" ref="D11" ca="1">_FV(D4,"P/E",TRUE)</f>
        <v>6.5998000000000001</v>
      </c>
    </row>
    <row r="12" spans="3:4" x14ac:dyDescent="0.3">
      <c r="C12" t="s">
        <v>506</v>
      </c>
      <c r="D12" s="13">
        <f>Model!G87/Model!G387</f>
        <v>26.798556728838843</v>
      </c>
    </row>
    <row r="13" spans="3:4" x14ac:dyDescent="0.3">
      <c r="C13" t="s">
        <v>507</v>
      </c>
      <c r="D13" s="13">
        <f>(Model!G57-Model!G76)/Model!G387</f>
        <v>-8.1945274473168244</v>
      </c>
    </row>
    <row r="14" spans="3:4" x14ac:dyDescent="0.3">
      <c r="C14" t="s">
        <v>508</v>
      </c>
      <c r="D14" s="41">
        <f>Model!G81/Model!G87</f>
        <v>1.2970913282747214</v>
      </c>
    </row>
    <row r="15" spans="3:4" x14ac:dyDescent="0.3">
      <c r="C15" t="s">
        <v>3</v>
      </c>
      <c r="D15" s="3">
        <v>45291</v>
      </c>
    </row>
    <row r="16" spans="3:4" x14ac:dyDescent="0.3">
      <c r="C16" t="s">
        <v>369</v>
      </c>
      <c r="D16" s="61" cm="1">
        <f t="array" aca="1" ref="D16" ca="1">_FV(D4,"Shares outstanding",TRUE)</f>
        <v>104156100</v>
      </c>
    </row>
    <row r="17" spans="3:4" x14ac:dyDescent="0.3">
      <c r="C17" t="s">
        <v>472</v>
      </c>
      <c r="D17" s="12" cm="1">
        <f t="array" aca="1" ref="D17" ca="1">_FV(D4,"Volume average",TRUE)</f>
        <v>232500</v>
      </c>
    </row>
    <row r="18" spans="3:4" x14ac:dyDescent="0.3">
      <c r="C18" t="s">
        <v>274</v>
      </c>
      <c r="D18" s="61" t="str">
        <f>'Scenario Analysis'!D3</f>
        <v>Base case</v>
      </c>
    </row>
    <row r="21" spans="3:4" x14ac:dyDescent="0.3">
      <c r="C21" s="44" t="s">
        <v>466</v>
      </c>
      <c r="D21" s="45"/>
    </row>
    <row r="22" spans="3:4" x14ac:dyDescent="0.3">
      <c r="C22" s="194" t="s">
        <v>467</v>
      </c>
      <c r="D22" s="194" t="s">
        <v>468</v>
      </c>
    </row>
    <row r="23" spans="3:4" x14ac:dyDescent="0.3">
      <c r="C23" t="str">
        <f>DCF!C105</f>
        <v>FCFE - constant growth method</v>
      </c>
      <c r="D23" s="97">
        <f ca="1">DCF!D105</f>
        <v>26.891052507452937</v>
      </c>
    </row>
    <row r="24" spans="3:4" x14ac:dyDescent="0.3">
      <c r="C24" t="str">
        <f>DCF!C106</f>
        <v>FCFE - ajdusted EBITDA multiple method</v>
      </c>
      <c r="D24" s="97">
        <f ca="1">DCF!D106</f>
        <v>24.22550347591768</v>
      </c>
    </row>
    <row r="25" spans="3:4" x14ac:dyDescent="0.3">
      <c r="C25" t="str">
        <f>DCF!C107</f>
        <v>Dividend - constant growth method</v>
      </c>
      <c r="D25" s="97">
        <f ca="1">DCF!D107</f>
        <v>32.520178406421721</v>
      </c>
    </row>
    <row r="26" spans="3:4" x14ac:dyDescent="0.3">
      <c r="C26" s="45" t="str">
        <f>DCF!C108</f>
        <v>Dividend - multiple method</v>
      </c>
      <c r="D26" s="226">
        <f ca="1">DCF!D108</f>
        <v>36.449084776125694</v>
      </c>
    </row>
    <row r="27" spans="3:4" x14ac:dyDescent="0.3">
      <c r="C27" s="2" t="str">
        <f>DCF!C109</f>
        <v>Weighted average</v>
      </c>
      <c r="D27" s="225">
        <f ca="1">DCF!D109</f>
        <v>30.914090151438351</v>
      </c>
    </row>
    <row r="29" spans="3:4" x14ac:dyDescent="0.3">
      <c r="C29" s="44" t="s">
        <v>510</v>
      </c>
      <c r="D29" s="45"/>
    </row>
    <row r="30" spans="3:4" x14ac:dyDescent="0.3">
      <c r="C30" t="s">
        <v>511</v>
      </c>
      <c r="D30" s="13">
        <f ca="1">(Model!G388/DCF!H5)</f>
        <v>18.563221795458638</v>
      </c>
    </row>
    <row r="31" spans="3:4" x14ac:dyDescent="0.3">
      <c r="C31" t="s">
        <v>512</v>
      </c>
      <c r="D31" s="13">
        <f ca="1">D7-D30</f>
        <v>3.816778204541361</v>
      </c>
    </row>
    <row r="32" spans="3:4" x14ac:dyDescent="0.3">
      <c r="C32" t="s">
        <v>513</v>
      </c>
      <c r="D32" s="13">
        <f ca="1">D27-D30</f>
        <v>12.350868355979713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5177-C4A0-44C5-B885-DC71F868E401}">
  <sheetPr codeName="Sheet2"/>
  <dimension ref="B1:T405"/>
  <sheetViews>
    <sheetView topLeftCell="A9" zoomScale="95" workbookViewId="0"/>
  </sheetViews>
  <sheetFormatPr defaultRowHeight="14.4" x14ac:dyDescent="0.3"/>
  <cols>
    <col min="1" max="2" width="1.77734375" customWidth="1"/>
    <col min="3" max="3" width="59.21875" bestFit="1" customWidth="1"/>
    <col min="4" max="11" width="13.33203125" customWidth="1"/>
    <col min="12" max="12" width="11.44140625" customWidth="1"/>
    <col min="13" max="13" width="1.77734375" customWidth="1"/>
    <col min="14" max="14" width="9.44140625" bestFit="1" customWidth="1"/>
    <col min="16" max="16" width="9.5546875" bestFit="1" customWidth="1"/>
    <col min="17" max="17" width="10" bestFit="1" customWidth="1"/>
    <col min="18" max="18" width="9.5546875" bestFit="1" customWidth="1"/>
  </cols>
  <sheetData>
    <row r="1" spans="2:18" ht="15" thickBot="1" x14ac:dyDescent="0.35"/>
    <row r="2" spans="2:18" ht="15" thickBot="1" x14ac:dyDescent="0.35">
      <c r="C2" s="18" t="str" cm="1">
        <f t="array" aca="1" ref="C2" ca="1">"Financial Statement Model for "&amp;_FV(Cover!D4,"Name")</f>
        <v>Financial Statement Model for Rubis SCA</v>
      </c>
      <c r="D2" s="17"/>
      <c r="E2" s="17"/>
      <c r="F2" s="17"/>
      <c r="G2" s="17"/>
      <c r="H2" s="17"/>
      <c r="I2" s="17"/>
      <c r="J2" s="17"/>
      <c r="K2" s="17"/>
      <c r="L2" s="17"/>
    </row>
    <row r="3" spans="2:18" x14ac:dyDescent="0.3">
      <c r="C3" t="s">
        <v>215</v>
      </c>
    </row>
    <row r="5" spans="2:18" x14ac:dyDescent="0.3">
      <c r="C5" t="s">
        <v>52</v>
      </c>
      <c r="D5" s="1">
        <v>1</v>
      </c>
    </row>
    <row r="6" spans="2:18" x14ac:dyDescent="0.3">
      <c r="C6" t="s">
        <v>2</v>
      </c>
      <c r="D6" s="97">
        <f ca="1">Cover!D7</f>
        <v>22.38</v>
      </c>
    </row>
    <row r="7" spans="2:18" x14ac:dyDescent="0.3">
      <c r="C7" t="s">
        <v>3</v>
      </c>
      <c r="D7" s="224">
        <f>Cover!D15</f>
        <v>45291</v>
      </c>
    </row>
    <row r="8" spans="2:18" x14ac:dyDescent="0.3">
      <c r="C8" t="s">
        <v>369</v>
      </c>
      <c r="D8" s="228">
        <f ca="1">Cover!D16</f>
        <v>104156100</v>
      </c>
    </row>
    <row r="9" spans="2:18" x14ac:dyDescent="0.3">
      <c r="C9" t="s">
        <v>274</v>
      </c>
      <c r="D9" s="61" t="str">
        <f>'Scenario Analysis'!D3</f>
        <v>Base case</v>
      </c>
    </row>
    <row r="10" spans="2:18" x14ac:dyDescent="0.3">
      <c r="E10" s="78"/>
    </row>
    <row r="11" spans="2:18" x14ac:dyDescent="0.3">
      <c r="B11" t="s">
        <v>7</v>
      </c>
      <c r="C11" s="2" t="s">
        <v>4</v>
      </c>
    </row>
    <row r="12" spans="2:18" x14ac:dyDescent="0.3">
      <c r="C12" s="14" t="s">
        <v>5</v>
      </c>
      <c r="D12" s="6">
        <f>E12-1</f>
        <v>2020</v>
      </c>
      <c r="E12" s="6">
        <f>F12-1</f>
        <v>2021</v>
      </c>
      <c r="F12" s="6">
        <f>G12-1</f>
        <v>2022</v>
      </c>
      <c r="G12" s="6">
        <f>YEAR(D7)</f>
        <v>2023</v>
      </c>
      <c r="H12" s="7">
        <f>G12+1</f>
        <v>2024</v>
      </c>
      <c r="I12" s="7">
        <f t="shared" ref="I12:L12" si="0">H12+1</f>
        <v>2025</v>
      </c>
      <c r="J12" s="7">
        <f t="shared" si="0"/>
        <v>2026</v>
      </c>
      <c r="K12" s="7">
        <f t="shared" si="0"/>
        <v>2027</v>
      </c>
      <c r="L12" s="7">
        <f t="shared" si="0"/>
        <v>2028</v>
      </c>
      <c r="N12" s="146" t="s">
        <v>26</v>
      </c>
      <c r="Q12" s="12"/>
      <c r="R12" s="22"/>
    </row>
    <row r="13" spans="2:18" x14ac:dyDescent="0.3">
      <c r="C13" s="8" t="s">
        <v>6</v>
      </c>
      <c r="D13" s="9">
        <f>EOMONTH(E13,-12)</f>
        <v>44196</v>
      </c>
      <c r="E13" s="9">
        <f>EOMONTH(F13,-12)</f>
        <v>44561</v>
      </c>
      <c r="F13" s="9">
        <f>EOMONTH(G13,-12)</f>
        <v>44926</v>
      </c>
      <c r="G13" s="9">
        <f>D7</f>
        <v>45291</v>
      </c>
      <c r="H13" s="9">
        <f>EOMONTH(G13,12)</f>
        <v>45657</v>
      </c>
      <c r="I13" s="9">
        <f t="shared" ref="I13:L13" si="1">EOMONTH(H13,12)</f>
        <v>46022</v>
      </c>
      <c r="J13" s="9">
        <f t="shared" si="1"/>
        <v>46387</v>
      </c>
      <c r="K13" s="9">
        <f t="shared" si="1"/>
        <v>46752</v>
      </c>
      <c r="L13" s="9">
        <f t="shared" si="1"/>
        <v>47118</v>
      </c>
      <c r="N13" s="19" t="s">
        <v>27</v>
      </c>
      <c r="Q13" s="12"/>
      <c r="R13" s="22"/>
    </row>
    <row r="14" spans="2:18" x14ac:dyDescent="0.3">
      <c r="N14" s="5"/>
      <c r="Q14" s="10"/>
      <c r="R14" s="22"/>
    </row>
    <row r="15" spans="2:18" x14ac:dyDescent="0.3">
      <c r="C15" t="s">
        <v>8</v>
      </c>
      <c r="D15" s="10">
        <v>3902003</v>
      </c>
      <c r="E15" s="10">
        <v>4589446</v>
      </c>
      <c r="F15" s="10">
        <v>7134728</v>
      </c>
      <c r="G15" s="10">
        <v>6629977</v>
      </c>
      <c r="H15" s="121">
        <f ca="1">_xlfn.XLOOKUP(H$12,'Division Integration'!3:3,'Division Integration'!9:9)</f>
        <v>6980925.1531063169</v>
      </c>
      <c r="I15" s="121">
        <f ca="1">_xlfn.XLOOKUP(I$12,'Division Integration'!3:3,'Division Integration'!9:9)</f>
        <v>6863553.8382286653</v>
      </c>
      <c r="J15" s="121">
        <f ca="1">_xlfn.XLOOKUP(J$12,'Division Integration'!3:3,'Division Integration'!9:9)</f>
        <v>7359446.5394644523</v>
      </c>
      <c r="K15" s="121">
        <f ca="1">_xlfn.XLOOKUP(K$12,'Division Integration'!3:3,'Division Integration'!9:9)</f>
        <v>8554784.4608561061</v>
      </c>
      <c r="L15" s="121">
        <f ca="1">_xlfn.XLOOKUP(L$12,'Division Integration'!3:3,'Division Integration'!9:9)</f>
        <v>10061122.710605131</v>
      </c>
      <c r="N15" s="149">
        <f ca="1">(L15/G15)^(1/($L$12-$G$12))-1</f>
        <v>8.6993344121378602E-2</v>
      </c>
      <c r="Q15" s="12"/>
      <c r="R15" s="25"/>
    </row>
    <row r="16" spans="2:18" x14ac:dyDescent="0.3">
      <c r="C16" t="s">
        <v>10</v>
      </c>
      <c r="D16" s="10">
        <v>-2702708</v>
      </c>
      <c r="E16" s="10">
        <v>-3319645</v>
      </c>
      <c r="F16" s="10">
        <v>-5690380</v>
      </c>
      <c r="G16" s="10">
        <v>-4945929</v>
      </c>
      <c r="H16" s="121">
        <f ca="1">_xlfn.XLOOKUP(H$12,'Division Integration'!20:20,'Division Integration'!25:25)*-1</f>
        <v>-5275842.4008272309</v>
      </c>
      <c r="I16" s="121">
        <f ca="1">_xlfn.XLOOKUP(I$12,'Division Integration'!20:20,'Division Integration'!25:25)*-1</f>
        <v>-5147404.503403049</v>
      </c>
      <c r="J16" s="121">
        <f ca="1">_xlfn.XLOOKUP(J$12,'Division Integration'!20:20,'Division Integration'!25:25)*-1</f>
        <v>-5522078.6726199584</v>
      </c>
      <c r="K16" s="121">
        <f ca="1">_xlfn.XLOOKUP(K$12,'Division Integration'!20:20,'Division Integration'!25:25)*-1</f>
        <v>-6459686.8618455119</v>
      </c>
      <c r="L16" s="121">
        <f ca="1">_xlfn.XLOOKUP(L$12,'Division Integration'!20:20,'Division Integration'!25:25)*-1</f>
        <v>-7636727.3071517488</v>
      </c>
      <c r="N16" s="222"/>
    </row>
    <row r="17" spans="3:18" x14ac:dyDescent="0.3">
      <c r="C17" s="2" t="s">
        <v>9</v>
      </c>
      <c r="D17" s="11">
        <f>D15+D16</f>
        <v>1199295</v>
      </c>
      <c r="E17" s="11">
        <f t="shared" ref="E17:F17" si="2">E15+E16</f>
        <v>1269801</v>
      </c>
      <c r="F17" s="11">
        <f t="shared" si="2"/>
        <v>1444348</v>
      </c>
      <c r="G17" s="11">
        <f t="shared" ref="G17" si="3">G15+G16</f>
        <v>1684048</v>
      </c>
      <c r="H17" s="128">
        <f ca="1">_xlfn.XLOOKUP(H12,'Division Integration'!35:35,'Division Integration'!40:40)</f>
        <v>1530902.9528124181</v>
      </c>
      <c r="I17" s="128">
        <f ca="1">_xlfn.XLOOKUP(I12,'Division Integration'!35:35,'Division Integration'!40:40)</f>
        <v>1535530.6794453503</v>
      </c>
      <c r="J17" s="128">
        <f ca="1">_xlfn.XLOOKUP(J12,'Division Integration'!35:35,'Division Integration'!40:40)</f>
        <v>1661080.2991933527</v>
      </c>
      <c r="K17" s="128">
        <f ca="1">_xlfn.XLOOKUP(K12,'Division Integration'!35:35,'Division Integration'!40:40)</f>
        <v>1923037.1729830834</v>
      </c>
      <c r="L17" s="128">
        <f ca="1">_xlfn.XLOOKUP(L12,'Division Integration'!35:35,'Division Integration'!40:40)</f>
        <v>2245974.5383295198</v>
      </c>
      <c r="N17" s="149">
        <f ca="1">(L17/G17)^(1/($L$12-$G$12))-1</f>
        <v>5.9278292564177937E-2</v>
      </c>
    </row>
    <row r="18" spans="3:18" x14ac:dyDescent="0.3">
      <c r="C18" t="s">
        <v>11</v>
      </c>
      <c r="D18" s="15">
        <f>-200948+-376893</f>
        <v>-577841</v>
      </c>
      <c r="E18" s="15">
        <f>-199479+-415461</f>
        <v>-614940</v>
      </c>
      <c r="F18" s="15">
        <f>-236965+-403404</f>
        <v>-640369</v>
      </c>
      <c r="G18" s="15">
        <f>-488810-253739</f>
        <v>-742549</v>
      </c>
      <c r="H18" s="12">
        <f ca="1">-(H17-H20+H19)</f>
        <v>-726946.15275192226</v>
      </c>
      <c r="I18" s="12">
        <f ca="1">-(I17-I20+I19)</f>
        <v>-715051.40798654652</v>
      </c>
      <c r="J18" s="12">
        <f ca="1">-(J17-J20+J19)</f>
        <v>-763710.06808828807</v>
      </c>
      <c r="K18" s="12">
        <f ca="1">-(K17-K20+K19)</f>
        <v>-889957.61273552291</v>
      </c>
      <c r="L18" s="12">
        <f ca="1">-(L17-L20+L19)</f>
        <v>-1040454.8053378683</v>
      </c>
      <c r="N18" s="222"/>
    </row>
    <row r="19" spans="3:18" x14ac:dyDescent="0.3">
      <c r="C19" t="s">
        <v>12</v>
      </c>
      <c r="D19" s="10">
        <f>-115867+1196-862</f>
        <v>-115533</v>
      </c>
      <c r="E19" s="10">
        <f>-122564+3106-7045</f>
        <v>-126503</v>
      </c>
      <c r="F19" s="10">
        <f>-134485+940+6327</f>
        <v>-127218</v>
      </c>
      <c r="G19" s="10">
        <f>-143646-6740-6222</f>
        <v>-156608</v>
      </c>
      <c r="H19" s="12">
        <f>AVERAGE(E19:G19)</f>
        <v>-136776.33333333334</v>
      </c>
      <c r="I19" s="12">
        <f t="shared" ref="I19:L19" si="4">AVERAGE(F19:H19)</f>
        <v>-140200.77777777778</v>
      </c>
      <c r="J19" s="12">
        <f t="shared" si="4"/>
        <v>-144528.37037037036</v>
      </c>
      <c r="K19" s="12">
        <f t="shared" si="4"/>
        <v>-140501.82716049382</v>
      </c>
      <c r="L19" s="12">
        <f t="shared" si="4"/>
        <v>-141743.658436214</v>
      </c>
      <c r="N19" s="222"/>
    </row>
    <row r="20" spans="3:18" x14ac:dyDescent="0.3">
      <c r="C20" s="2" t="s">
        <v>13</v>
      </c>
      <c r="D20" s="16">
        <f>SUM(D17:D19)</f>
        <v>505921</v>
      </c>
      <c r="E20" s="16">
        <f>SUM(E17:E19)</f>
        <v>528358</v>
      </c>
      <c r="F20" s="16">
        <f>SUM(F17:F19)</f>
        <v>676761</v>
      </c>
      <c r="G20" s="16">
        <f>SUM(G17:G19)</f>
        <v>784891</v>
      </c>
      <c r="H20" s="128">
        <f ca="1">_xlfn.XLOOKUP(H12,'Division Integration'!56:56,'Division Integration'!61:61)</f>
        <v>667180.46672716248</v>
      </c>
      <c r="I20" s="128">
        <f ca="1">_xlfn.XLOOKUP(I12,'Division Integration'!56:56,'Division Integration'!61:61)</f>
        <v>680278.49368102604</v>
      </c>
      <c r="J20" s="128">
        <f ca="1">_xlfn.XLOOKUP(J12,'Division Integration'!56:56,'Division Integration'!61:61)</f>
        <v>752841.86073469429</v>
      </c>
      <c r="K20" s="128">
        <f ca="1">_xlfn.XLOOKUP(K12,'Division Integration'!56:56,'Division Integration'!61:61)</f>
        <v>892577.73308706668</v>
      </c>
      <c r="L20" s="128">
        <f ca="1">_xlfn.XLOOKUP(L12,'Division Integration'!56:56,'Division Integration'!61:61)</f>
        <v>1063776.0745554375</v>
      </c>
      <c r="N20" s="149">
        <f ca="1">(L20/G20)^(1/($L$12-$G$12))-1</f>
        <v>6.2693866089270855E-2</v>
      </c>
      <c r="O20" s="12"/>
      <c r="P20" s="12"/>
      <c r="Q20" s="12"/>
      <c r="R20" s="12"/>
    </row>
    <row r="21" spans="3:18" x14ac:dyDescent="0.3">
      <c r="C21" t="s">
        <v>135</v>
      </c>
      <c r="D21" s="10">
        <v>-140058</v>
      </c>
      <c r="E21" s="10">
        <v>-136530</v>
      </c>
      <c r="F21" s="10">
        <v>-167747</v>
      </c>
      <c r="G21" s="10">
        <v>-189454</v>
      </c>
      <c r="H21" s="12">
        <f ca="1">-H288</f>
        <v>-141200.7097588348</v>
      </c>
      <c r="I21" s="12">
        <f ca="1">-I288</f>
        <v>-171417.2469309663</v>
      </c>
      <c r="J21" s="12">
        <f ca="1">-J288</f>
        <v>-209338.73003096273</v>
      </c>
      <c r="K21" s="12">
        <f ca="1">-K288</f>
        <v>-251648.51206776983</v>
      </c>
      <c r="L21" s="12">
        <f ca="1">-L288</f>
        <v>-296844.65916553058</v>
      </c>
      <c r="N21" s="24"/>
      <c r="O21" s="12"/>
      <c r="P21" s="12"/>
      <c r="Q21" s="12"/>
      <c r="R21" s="12"/>
    </row>
    <row r="22" spans="3:18" x14ac:dyDescent="0.3">
      <c r="C22" t="s">
        <v>14</v>
      </c>
      <c r="D22" s="10">
        <v>-77919</v>
      </c>
      <c r="E22" s="10">
        <v>4802</v>
      </c>
      <c r="F22" s="10">
        <v>-58136</v>
      </c>
      <c r="G22" s="10">
        <v>7350</v>
      </c>
      <c r="H22" s="12">
        <f>AVERAGE(E22:G22)</f>
        <v>-15328</v>
      </c>
      <c r="I22" s="12">
        <f t="shared" ref="I22:L22" si="5">AVERAGE(F22:H22)</f>
        <v>-22038</v>
      </c>
      <c r="J22" s="12">
        <f t="shared" si="5"/>
        <v>-10005.333333333334</v>
      </c>
      <c r="K22" s="12">
        <f t="shared" si="5"/>
        <v>-15790.444444444445</v>
      </c>
      <c r="L22" s="12">
        <f t="shared" si="5"/>
        <v>-15944.592592592593</v>
      </c>
      <c r="N22" s="5"/>
    </row>
    <row r="23" spans="3:18" x14ac:dyDescent="0.3">
      <c r="C23" s="2" t="s">
        <v>15</v>
      </c>
      <c r="D23" s="11">
        <f>SUM(D20:D22)</f>
        <v>287944</v>
      </c>
      <c r="E23" s="11">
        <f t="shared" ref="E23:F23" si="6">SUM(E20:E22)</f>
        <v>396630</v>
      </c>
      <c r="F23" s="11">
        <f t="shared" si="6"/>
        <v>450878</v>
      </c>
      <c r="G23" s="11">
        <f t="shared" ref="G23:L23" si="7">SUM(G20:G22)</f>
        <v>602787</v>
      </c>
      <c r="H23" s="11">
        <f t="shared" ca="1" si="7"/>
        <v>510651.75696832768</v>
      </c>
      <c r="I23" s="11">
        <f t="shared" ca="1" si="7"/>
        <v>486823.24675005977</v>
      </c>
      <c r="J23" s="11">
        <f t="shared" ca="1" si="7"/>
        <v>533497.79737039818</v>
      </c>
      <c r="K23" s="11">
        <f t="shared" ca="1" si="7"/>
        <v>625138.77657485241</v>
      </c>
      <c r="L23" s="11">
        <f t="shared" ca="1" si="7"/>
        <v>750986.82279731438</v>
      </c>
      <c r="N23" s="5"/>
    </row>
    <row r="24" spans="3:18" x14ac:dyDescent="0.3">
      <c r="C24" t="s">
        <v>16</v>
      </c>
      <c r="D24" s="10">
        <v>4268</v>
      </c>
      <c r="E24" s="10">
        <v>5906</v>
      </c>
      <c r="F24" s="10">
        <v>5732</v>
      </c>
      <c r="G24" s="10">
        <f>14930</f>
        <v>14930</v>
      </c>
      <c r="H24" s="12">
        <f>G24*(1+H46)</f>
        <v>0</v>
      </c>
      <c r="I24" s="12">
        <f>H24*(1+I46)</f>
        <v>0</v>
      </c>
      <c r="J24" s="12">
        <f>I24*(1+J46)</f>
        <v>0</v>
      </c>
      <c r="K24" s="12">
        <f>J24*(1+K46)</f>
        <v>0</v>
      </c>
      <c r="L24" s="12">
        <f>K24*(1+L46)</f>
        <v>0</v>
      </c>
      <c r="N24" s="5"/>
    </row>
    <row r="25" spans="3:18" x14ac:dyDescent="0.3">
      <c r="C25" s="2" t="s">
        <v>17</v>
      </c>
      <c r="D25" s="11">
        <f>SUM(D23:D24)</f>
        <v>292212</v>
      </c>
      <c r="E25" s="11">
        <f t="shared" ref="E25:F25" si="8">SUM(E23:E24)</f>
        <v>402536</v>
      </c>
      <c r="F25" s="11">
        <f t="shared" si="8"/>
        <v>456610</v>
      </c>
      <c r="G25" s="11">
        <f t="shared" ref="G25:L25" si="9">SUM(G23:G24)</f>
        <v>617717</v>
      </c>
      <c r="H25" s="11">
        <f t="shared" ca="1" si="9"/>
        <v>510651.75696832768</v>
      </c>
      <c r="I25" s="11">
        <f t="shared" ca="1" si="9"/>
        <v>486823.24675005977</v>
      </c>
      <c r="J25" s="11">
        <f t="shared" ca="1" si="9"/>
        <v>533497.79737039818</v>
      </c>
      <c r="K25" s="11">
        <f t="shared" ca="1" si="9"/>
        <v>625138.77657485241</v>
      </c>
      <c r="L25" s="11">
        <f t="shared" ca="1" si="9"/>
        <v>750986.82279731438</v>
      </c>
      <c r="N25" s="149">
        <f ca="1">(L25/G25)^(1/($L$12-$G$12))-1</f>
        <v>3.9844867670547401E-2</v>
      </c>
      <c r="O25" s="78"/>
    </row>
    <row r="26" spans="3:18" x14ac:dyDescent="0.3">
      <c r="C26" t="s">
        <v>18</v>
      </c>
      <c r="D26" s="10">
        <v>2597</v>
      </c>
      <c r="E26" s="10">
        <v>9645</v>
      </c>
      <c r="F26" s="10">
        <v>11868</v>
      </c>
      <c r="G26" s="10">
        <v>15869</v>
      </c>
      <c r="H26" s="12">
        <f ca="1">H379</f>
        <v>10620.776779090202</v>
      </c>
      <c r="I26" s="12">
        <f t="shared" ref="I26:L26" ca="1" si="10">I379</f>
        <v>5884.4088568995376</v>
      </c>
      <c r="J26" s="12">
        <f t="shared" ca="1" si="10"/>
        <v>4345.8247514594432</v>
      </c>
      <c r="K26" s="12">
        <f t="shared" ca="1" si="10"/>
        <v>2980.1365650343892</v>
      </c>
      <c r="L26" s="12">
        <f t="shared" ca="1" si="10"/>
        <v>2715.8293248708701</v>
      </c>
      <c r="N26" s="5"/>
    </row>
    <row r="27" spans="3:18" x14ac:dyDescent="0.3">
      <c r="C27" t="s">
        <v>19</v>
      </c>
      <c r="D27" s="10">
        <v>-19396</v>
      </c>
      <c r="E27" s="10">
        <v>-22220</v>
      </c>
      <c r="F27" s="10">
        <v>-42363</v>
      </c>
      <c r="G27" s="10">
        <v>-87858</v>
      </c>
      <c r="H27" s="12">
        <f ca="1">-H370</f>
        <v>-79847.560450643985</v>
      </c>
      <c r="I27" s="12">
        <f t="shared" ref="I27:L27" ca="1" si="11">-I370</f>
        <v>-74639.93634485986</v>
      </c>
      <c r="J27" s="12">
        <f t="shared" ca="1" si="11"/>
        <v>-79069.172692285691</v>
      </c>
      <c r="K27" s="12">
        <f t="shared" ca="1" si="11"/>
        <v>-84273.485410345325</v>
      </c>
      <c r="L27" s="12">
        <f t="shared" ca="1" si="11"/>
        <v>-96509.556774077675</v>
      </c>
      <c r="N27" s="5"/>
    </row>
    <row r="28" spans="3:18" x14ac:dyDescent="0.3">
      <c r="C28" t="s">
        <v>20</v>
      </c>
      <c r="D28" s="10">
        <v>-9188</v>
      </c>
      <c r="E28" s="10">
        <v>-8565</v>
      </c>
      <c r="F28" s="10">
        <v>-10234</v>
      </c>
      <c r="G28" s="10">
        <v>-12370</v>
      </c>
      <c r="H28" s="12">
        <f ca="1">H299</f>
        <v>-12209.586678877373</v>
      </c>
      <c r="I28" s="12">
        <f t="shared" ref="I28:L28" ca="1" si="12">I299</f>
        <v>-12501.083183603139</v>
      </c>
      <c r="J28" s="12">
        <f t="shared" ca="1" si="12"/>
        <v>-12717.199360389453</v>
      </c>
      <c r="K28" s="12">
        <f t="shared" ca="1" si="12"/>
        <v>-13104.133138453843</v>
      </c>
      <c r="L28" s="12">
        <f t="shared" ca="1" si="12"/>
        <v>-14566.154936280258</v>
      </c>
      <c r="N28" s="5"/>
    </row>
    <row r="29" spans="3:18" x14ac:dyDescent="0.3">
      <c r="C29" t="s">
        <v>21</v>
      </c>
      <c r="D29" s="10">
        <v>-11234</v>
      </c>
      <c r="E29" s="10">
        <v>-11456</v>
      </c>
      <c r="F29" s="10">
        <v>-80116</v>
      </c>
      <c r="G29" s="10">
        <v>-134409</v>
      </c>
      <c r="H29" s="10">
        <f>AVERAGE(E29:G29)</f>
        <v>-75327</v>
      </c>
      <c r="I29" s="10">
        <v>-60000</v>
      </c>
      <c r="J29" s="10">
        <v>-45000</v>
      </c>
      <c r="K29" s="10">
        <v>-15000</v>
      </c>
      <c r="L29" s="10">
        <f t="shared" ref="L29" si="13">K29</f>
        <v>-15000</v>
      </c>
      <c r="N29" s="5"/>
    </row>
    <row r="30" spans="3:18" x14ac:dyDescent="0.3">
      <c r="C30" s="2" t="s">
        <v>22</v>
      </c>
      <c r="D30" s="11">
        <f>SUM(D25:D29)</f>
        <v>254991</v>
      </c>
      <c r="E30" s="11">
        <f t="shared" ref="E30" si="14">SUM(E25:E29)</f>
        <v>369940</v>
      </c>
      <c r="F30" s="11">
        <f>SUM(F25:F29)</f>
        <v>335765</v>
      </c>
      <c r="G30" s="11">
        <f>SUM(G25:G29)</f>
        <v>398949</v>
      </c>
      <c r="H30" s="11">
        <f t="shared" ref="H30:L30" ca="1" si="15">SUM(H25:H29)</f>
        <v>353888.38661789655</v>
      </c>
      <c r="I30" s="11">
        <f t="shared" ca="1" si="15"/>
        <v>345566.63607849635</v>
      </c>
      <c r="J30" s="11">
        <f t="shared" ca="1" si="15"/>
        <v>401057.25006918248</v>
      </c>
      <c r="K30" s="11">
        <f t="shared" ca="1" si="15"/>
        <v>515741.29459108762</v>
      </c>
      <c r="L30" s="11">
        <f t="shared" ca="1" si="15"/>
        <v>627626.94041182729</v>
      </c>
      <c r="N30" s="167"/>
    </row>
    <row r="31" spans="3:18" x14ac:dyDescent="0.3">
      <c r="C31" t="s">
        <v>28</v>
      </c>
      <c r="D31" s="10">
        <v>-59470</v>
      </c>
      <c r="E31" s="10">
        <v>-65201</v>
      </c>
      <c r="F31" s="10">
        <v>-63862</v>
      </c>
      <c r="G31" s="10">
        <v>-57860</v>
      </c>
      <c r="H31" s="12">
        <f ca="1">H30*-H47</f>
        <v>-51324.811065352951</v>
      </c>
      <c r="I31" s="12">
        <f ca="1">I30*-I47</f>
        <v>-50117.898687556051</v>
      </c>
      <c r="J31" s="12">
        <f ca="1">J30*-J47</f>
        <v>-58165.761761535679</v>
      </c>
      <c r="K31" s="12">
        <f ca="1">K30*-K47</f>
        <v>-74798.511351176043</v>
      </c>
      <c r="L31" s="12">
        <f ca="1">L30*-L47</f>
        <v>-91025.406185322761</v>
      </c>
      <c r="N31" s="5"/>
    </row>
    <row r="32" spans="3:18" x14ac:dyDescent="0.3">
      <c r="C32" s="2" t="s">
        <v>23</v>
      </c>
      <c r="D32" s="11">
        <f>D30+D31</f>
        <v>195521</v>
      </c>
      <c r="E32" s="11">
        <f t="shared" ref="E32:F32" si="16">E30+E31</f>
        <v>304739</v>
      </c>
      <c r="F32" s="11">
        <f t="shared" si="16"/>
        <v>271903</v>
      </c>
      <c r="G32" s="11">
        <f t="shared" ref="G32:L32" si="17">G30+G31</f>
        <v>341089</v>
      </c>
      <c r="H32" s="11">
        <f t="shared" ca="1" si="17"/>
        <v>302563.57555254363</v>
      </c>
      <c r="I32" s="11">
        <f t="shared" ca="1" si="17"/>
        <v>295448.73739094031</v>
      </c>
      <c r="J32" s="11">
        <f t="shared" ca="1" si="17"/>
        <v>342891.48830764682</v>
      </c>
      <c r="K32" s="11">
        <f t="shared" ca="1" si="17"/>
        <v>440942.78323991154</v>
      </c>
      <c r="L32" s="11">
        <f t="shared" ca="1" si="17"/>
        <v>536601.5342265045</v>
      </c>
      <c r="N32" s="149">
        <f ca="1">(L32/G32)^(1/($L$12-$G$12))-1</f>
        <v>9.485558789535542E-2</v>
      </c>
    </row>
    <row r="33" spans="3:19" x14ac:dyDescent="0.3">
      <c r="C33" t="s">
        <v>24</v>
      </c>
      <c r="D33" s="10">
        <v>16571</v>
      </c>
      <c r="E33" s="10">
        <v>12170</v>
      </c>
      <c r="F33" s="10">
        <v>9007</v>
      </c>
      <c r="G33" s="10">
        <v>13319</v>
      </c>
      <c r="H33" s="12">
        <f ca="1">H32*H48</f>
        <v>11814.641524013756</v>
      </c>
      <c r="I33" s="12">
        <f ca="1">I32*I48</f>
        <v>11536.818054261303</v>
      </c>
      <c r="J33" s="12">
        <f ca="1">J32*J48</f>
        <v>13389.384391667711</v>
      </c>
      <c r="K33" s="12">
        <f ca="1">K32*K48</f>
        <v>17218.13641006418</v>
      </c>
      <c r="L33" s="12">
        <f ca="1">L32*L48</f>
        <v>20953.46327311292</v>
      </c>
      <c r="N33" s="5"/>
    </row>
    <row r="34" spans="3:19" x14ac:dyDescent="0.3">
      <c r="C34" t="s">
        <v>263</v>
      </c>
      <c r="D34" s="10">
        <v>101383</v>
      </c>
      <c r="E34" s="10"/>
      <c r="F34" s="10"/>
      <c r="G34" s="10"/>
      <c r="H34" s="10">
        <v>75000</v>
      </c>
      <c r="N34" s="5"/>
    </row>
    <row r="35" spans="3:19" x14ac:dyDescent="0.3">
      <c r="C35" s="2" t="s">
        <v>25</v>
      </c>
      <c r="D35" s="11">
        <f>D32-D33+D34</f>
        <v>280333</v>
      </c>
      <c r="E35" s="11">
        <f t="shared" ref="E35:F35" si="18">E32-E33+E34</f>
        <v>292569</v>
      </c>
      <c r="F35" s="11">
        <f t="shared" si="18"/>
        <v>262896</v>
      </c>
      <c r="G35" s="11">
        <f t="shared" ref="G35:L35" si="19">G32-G33+G34</f>
        <v>327770</v>
      </c>
      <c r="H35" s="11">
        <f t="shared" ca="1" si="19"/>
        <v>365748.93402852985</v>
      </c>
      <c r="I35" s="11">
        <f ca="1">I32-I33+I34</f>
        <v>283911.91933667898</v>
      </c>
      <c r="J35" s="11">
        <f t="shared" ca="1" si="19"/>
        <v>329502.1039159791</v>
      </c>
      <c r="K35" s="11">
        <f t="shared" ca="1" si="19"/>
        <v>423724.64682984736</v>
      </c>
      <c r="L35" s="11">
        <f t="shared" ca="1" si="19"/>
        <v>515648.07095339161</v>
      </c>
      <c r="N35" s="149">
        <f ca="1">(L35/G35)^(1/($L$12-$G$12))-1</f>
        <v>9.485558789535542E-2</v>
      </c>
    </row>
    <row r="36" spans="3:19" x14ac:dyDescent="0.3">
      <c r="N36" s="5"/>
    </row>
    <row r="37" spans="3:19" x14ac:dyDescent="0.3">
      <c r="C37" t="s">
        <v>29</v>
      </c>
      <c r="D37" s="81">
        <f>D332+D325</f>
        <v>8799</v>
      </c>
      <c r="E37" s="81">
        <f t="shared" ref="E37:G37" si="20">E332+E325</f>
        <v>4386</v>
      </c>
      <c r="F37" s="81">
        <f t="shared" si="20"/>
        <v>21307</v>
      </c>
      <c r="G37" s="81">
        <f t="shared" si="20"/>
        <v>8666</v>
      </c>
      <c r="H37" s="81">
        <f ca="1">H49*-H18</f>
        <v>12358.084596782679</v>
      </c>
      <c r="I37" s="81">
        <f ca="1">I49*-I18</f>
        <v>12155.873935771291</v>
      </c>
      <c r="J37" s="81">
        <f ca="1">J49*-J18</f>
        <v>12983.071157500897</v>
      </c>
      <c r="K37" s="81">
        <f ca="1">K49*-K18</f>
        <v>10679.491352826275</v>
      </c>
      <c r="L37" s="81">
        <f ca="1">L49*-L18</f>
        <v>7283.1836373650785</v>
      </c>
      <c r="N37" s="5"/>
    </row>
    <row r="38" spans="3:19" x14ac:dyDescent="0.3">
      <c r="C38" s="2" t="s">
        <v>30</v>
      </c>
      <c r="D38" s="11">
        <f t="shared" ref="D38:F38" si="21">D20+D37</f>
        <v>514720</v>
      </c>
      <c r="E38" s="11">
        <f t="shared" si="21"/>
        <v>532744</v>
      </c>
      <c r="F38" s="11">
        <f t="shared" si="21"/>
        <v>698068</v>
      </c>
      <c r="G38" s="11">
        <f>G20+G37</f>
        <v>793557</v>
      </c>
      <c r="H38" s="11">
        <f t="shared" ref="H38:L38" ca="1" si="22">H20+H37</f>
        <v>679538.55132394517</v>
      </c>
      <c r="I38" s="11">
        <f t="shared" ca="1" si="22"/>
        <v>692434.36761679733</v>
      </c>
      <c r="J38" s="11">
        <f t="shared" ca="1" si="22"/>
        <v>765824.93189219513</v>
      </c>
      <c r="K38" s="11">
        <f t="shared" ca="1" si="22"/>
        <v>903257.22443989292</v>
      </c>
      <c r="L38" s="11">
        <f t="shared" ca="1" si="22"/>
        <v>1071059.2581928025</v>
      </c>
      <c r="N38" s="149">
        <f ca="1">(L38/G38)^(1/($L$12-$G$12))-1</f>
        <v>6.1810643923793096E-2</v>
      </c>
    </row>
    <row r="39" spans="3:19" x14ac:dyDescent="0.3">
      <c r="C39" s="2"/>
      <c r="D39" s="2"/>
      <c r="F39" s="12"/>
      <c r="N39" s="5"/>
    </row>
    <row r="40" spans="3:19" x14ac:dyDescent="0.3">
      <c r="C40" s="20" t="s">
        <v>454</v>
      </c>
      <c r="D40" s="20"/>
      <c r="H40" s="27"/>
      <c r="N40" s="5"/>
    </row>
    <row r="41" spans="3:19" x14ac:dyDescent="0.3">
      <c r="C41" t="s">
        <v>31</v>
      </c>
      <c r="D41" s="100">
        <f>D15/5228487-1</f>
        <v>-0.25370322236624099</v>
      </c>
      <c r="E41" s="100">
        <f t="shared" ref="E41:L41" si="23">E15/D15-1</f>
        <v>0.17617695322120452</v>
      </c>
      <c r="F41" s="100">
        <f t="shared" si="23"/>
        <v>0.55459460684361472</v>
      </c>
      <c r="G41" s="100">
        <f t="shared" si="23"/>
        <v>-7.0745654214148024E-2</v>
      </c>
      <c r="H41" s="100">
        <f t="shared" ca="1" si="23"/>
        <v>5.2933540056974149E-2</v>
      </c>
      <c r="I41" s="100">
        <f ca="1">I15/H15-1</f>
        <v>-1.6813146152329761E-2</v>
      </c>
      <c r="J41" s="100">
        <f t="shared" ca="1" si="23"/>
        <v>7.2250136434242052E-2</v>
      </c>
      <c r="K41" s="100">
        <f t="shared" ca="1" si="23"/>
        <v>0.16242225756811313</v>
      </c>
      <c r="L41" s="100">
        <f t="shared" ca="1" si="23"/>
        <v>0.17608137956503001</v>
      </c>
      <c r="N41" s="5"/>
    </row>
    <row r="42" spans="3:19" x14ac:dyDescent="0.3">
      <c r="C42" t="s">
        <v>502</v>
      </c>
      <c r="D42" s="100"/>
      <c r="E42" s="100">
        <f>E32/D32-1</f>
        <v>0.55859984349507208</v>
      </c>
      <c r="F42" s="100">
        <f t="shared" ref="F42:L42" si="24">F32/E32-1</f>
        <v>-0.10775122317786701</v>
      </c>
      <c r="G42" s="100">
        <f t="shared" si="24"/>
        <v>0.25445103584734263</v>
      </c>
      <c r="H42" s="100">
        <f t="shared" ca="1" si="24"/>
        <v>-0.11294830512697973</v>
      </c>
      <c r="I42" s="100">
        <f t="shared" ca="1" si="24"/>
        <v>-2.3515184035653114E-2</v>
      </c>
      <c r="J42" s="100">
        <f t="shared" ca="1" si="24"/>
        <v>0.16057862130556289</v>
      </c>
      <c r="K42" s="100">
        <f t="shared" ca="1" si="24"/>
        <v>0.28595429830060937</v>
      </c>
      <c r="L42" s="100">
        <f t="shared" ca="1" si="24"/>
        <v>0.21694141422096069</v>
      </c>
      <c r="N42" s="5"/>
    </row>
    <row r="43" spans="3:19" x14ac:dyDescent="0.3">
      <c r="C43" t="s">
        <v>32</v>
      </c>
      <c r="D43" s="100">
        <f t="shared" ref="D43:L43" si="25">D17/D15</f>
        <v>0.30735368476139052</v>
      </c>
      <c r="E43" s="100">
        <f t="shared" si="25"/>
        <v>0.27667849234962127</v>
      </c>
      <c r="F43" s="100">
        <f t="shared" si="25"/>
        <v>0.20243911190447625</v>
      </c>
      <c r="G43" s="100">
        <f t="shared" si="25"/>
        <v>0.25400510439176488</v>
      </c>
      <c r="H43" s="100">
        <f ca="1">H17/H15</f>
        <v>0.21929800409494565</v>
      </c>
      <c r="I43" s="100">
        <f t="shared" ca="1" si="25"/>
        <v>0.22372239158273108</v>
      </c>
      <c r="J43" s="100">
        <f t="shared" ca="1" si="25"/>
        <v>0.22570723087475947</v>
      </c>
      <c r="K43" s="100">
        <f t="shared" ca="1" si="25"/>
        <v>0.22479083859824547</v>
      </c>
      <c r="L43" s="100">
        <f t="shared" ca="1" si="25"/>
        <v>0.22323299326844553</v>
      </c>
      <c r="N43" s="5"/>
    </row>
    <row r="44" spans="3:19" x14ac:dyDescent="0.3">
      <c r="C44" t="s">
        <v>230</v>
      </c>
      <c r="D44" s="100">
        <f>D20/D15</f>
        <v>0.12965674295996185</v>
      </c>
      <c r="E44" s="100">
        <f t="shared" ref="E44:L44" si="26">E20/E15</f>
        <v>0.11512457059087305</v>
      </c>
      <c r="F44" s="100">
        <f t="shared" si="26"/>
        <v>9.4854492000255655E-2</v>
      </c>
      <c r="G44" s="100">
        <f t="shared" si="26"/>
        <v>0.11838517690182032</v>
      </c>
      <c r="H44" s="100">
        <f t="shared" ca="1" si="26"/>
        <v>9.5571926656495637E-2</v>
      </c>
      <c r="I44" s="100">
        <f t="shared" ca="1" si="26"/>
        <v>9.9114614631855377E-2</v>
      </c>
      <c r="J44" s="100">
        <f t="shared" ca="1" si="26"/>
        <v>0.1022959887944887</v>
      </c>
      <c r="K44" s="100">
        <f t="shared" ca="1" si="26"/>
        <v>0.10433667115416061</v>
      </c>
      <c r="L44" s="100">
        <f t="shared" ca="1" si="26"/>
        <v>0.10573134879213258</v>
      </c>
      <c r="N44" s="5"/>
    </row>
    <row r="45" spans="3:19" x14ac:dyDescent="0.3">
      <c r="C45" t="s">
        <v>465</v>
      </c>
      <c r="D45" s="100">
        <f>D32/D15</f>
        <v>5.0107854863258687E-2</v>
      </c>
      <c r="E45" s="100">
        <f t="shared" ref="E45:L45" si="27">E32/E15</f>
        <v>6.6399953284121876E-2</v>
      </c>
      <c r="F45" s="100">
        <f t="shared" si="27"/>
        <v>3.8109791992070333E-2</v>
      </c>
      <c r="G45" s="100">
        <f t="shared" si="27"/>
        <v>5.1446483147679092E-2</v>
      </c>
      <c r="H45" s="100">
        <f t="shared" ca="1" si="27"/>
        <v>4.3341472500662934E-2</v>
      </c>
      <c r="I45" s="100">
        <f t="shared" ca="1" si="27"/>
        <v>4.304602897486548E-2</v>
      </c>
      <c r="J45" s="100">
        <f t="shared" ca="1" si="27"/>
        <v>4.659202108051444E-2</v>
      </c>
      <c r="K45" s="100">
        <f t="shared" ca="1" si="27"/>
        <v>5.1543412374387851E-2</v>
      </c>
      <c r="L45" s="100">
        <f t="shared" ca="1" si="27"/>
        <v>5.3334160576422422E-2</v>
      </c>
      <c r="N45" s="5"/>
    </row>
    <row r="46" spans="3:19" x14ac:dyDescent="0.3">
      <c r="C46" t="s">
        <v>260</v>
      </c>
      <c r="D46" s="100"/>
      <c r="E46" s="100">
        <f>E24/D24-1</f>
        <v>0.38378631677600761</v>
      </c>
      <c r="F46" s="100">
        <f>F24/E24-1</f>
        <v>-2.9461564510667171E-2</v>
      </c>
      <c r="G46" s="100">
        <f>G24/F24-1</f>
        <v>1.604675505931612</v>
      </c>
      <c r="H46" s="166">
        <v>-1</v>
      </c>
      <c r="I46" s="166">
        <v>0</v>
      </c>
      <c r="J46" s="166">
        <v>0</v>
      </c>
      <c r="K46" s="166">
        <v>0</v>
      </c>
      <c r="L46" s="166">
        <v>0</v>
      </c>
      <c r="N46" s="5"/>
    </row>
    <row r="47" spans="3:19" x14ac:dyDescent="0.3">
      <c r="C47" t="s">
        <v>33</v>
      </c>
      <c r="D47" s="100">
        <f>-D31/D30</f>
        <v>0.23322391770689946</v>
      </c>
      <c r="E47" s="100">
        <f>-E31/E30</f>
        <v>0.17624749959452884</v>
      </c>
      <c r="F47" s="100">
        <f>-F31/F30</f>
        <v>0.1901985019284321</v>
      </c>
      <c r="G47" s="100">
        <f>-G31/G30</f>
        <v>0.14503106913414998</v>
      </c>
      <c r="H47" s="166">
        <f>G47</f>
        <v>0.14503106913414998</v>
      </c>
      <c r="I47" s="166">
        <f t="shared" ref="I47:L48" si="28">H47</f>
        <v>0.14503106913414998</v>
      </c>
      <c r="J47" s="166">
        <f t="shared" si="28"/>
        <v>0.14503106913414998</v>
      </c>
      <c r="K47" s="166">
        <f t="shared" si="28"/>
        <v>0.14503106913414998</v>
      </c>
      <c r="L47" s="166">
        <f t="shared" si="28"/>
        <v>0.14503106913414998</v>
      </c>
      <c r="N47" s="5"/>
      <c r="O47" s="27"/>
      <c r="P47" s="27"/>
      <c r="Q47" s="27"/>
      <c r="R47" s="27"/>
      <c r="S47" s="27"/>
    </row>
    <row r="48" spans="3:19" x14ac:dyDescent="0.3">
      <c r="C48" t="s">
        <v>51</v>
      </c>
      <c r="D48" s="100">
        <f>D33/D32</f>
        <v>8.4753044430010069E-2</v>
      </c>
      <c r="E48" s="100">
        <f>E33/E32</f>
        <v>3.9935813926015376E-2</v>
      </c>
      <c r="F48" s="100">
        <f>F33/F32</f>
        <v>3.3125783827320773E-2</v>
      </c>
      <c r="G48" s="100">
        <f>G33/G32</f>
        <v>3.9048459492976903E-2</v>
      </c>
      <c r="H48" s="166">
        <f>G48</f>
        <v>3.9048459492976903E-2</v>
      </c>
      <c r="I48" s="166">
        <f t="shared" si="28"/>
        <v>3.9048459492976903E-2</v>
      </c>
      <c r="J48" s="166">
        <f t="shared" si="28"/>
        <v>3.9048459492976903E-2</v>
      </c>
      <c r="K48" s="166">
        <f t="shared" si="28"/>
        <v>3.9048459492976903E-2</v>
      </c>
      <c r="L48" s="166">
        <f t="shared" si="28"/>
        <v>3.9048459492976903E-2</v>
      </c>
      <c r="N48" s="5"/>
    </row>
    <row r="49" spans="2:19" x14ac:dyDescent="0.3">
      <c r="C49" t="s">
        <v>446</v>
      </c>
      <c r="D49" s="215">
        <f>D37/-D18</f>
        <v>1.5227372235614987E-2</v>
      </c>
      <c r="E49" s="215">
        <f>E37/-E18</f>
        <v>7.1324031612840276E-3</v>
      </c>
      <c r="F49" s="215">
        <f>F37/-F18</f>
        <v>3.3273003533899989E-2</v>
      </c>
      <c r="G49" s="215">
        <f>G37/-G18</f>
        <v>1.1670610289691319E-2</v>
      </c>
      <c r="H49" s="166">
        <v>1.7000000000000001E-2</v>
      </c>
      <c r="I49" s="166">
        <v>1.7000000000000001E-2</v>
      </c>
      <c r="J49" s="166">
        <v>1.7000000000000001E-2</v>
      </c>
      <c r="K49" s="166">
        <v>1.2E-2</v>
      </c>
      <c r="L49" s="166">
        <v>7.0000000000000001E-3</v>
      </c>
      <c r="N49" s="5"/>
    </row>
    <row r="50" spans="2:19" x14ac:dyDescent="0.3">
      <c r="C50" t="s">
        <v>450</v>
      </c>
      <c r="D50" s="214">
        <f ca="1">_xlfn.XLOOKUP(D12,'Share Price Data'!1:1,'Share Price Data'!3:3)*D387/D38</f>
        <v>8.1962076558763748</v>
      </c>
      <c r="E50" s="214">
        <f ca="1">_xlfn.XLOOKUP(E12,'Share Price Data'!1:1,'Share Price Data'!3:3)*E387/E38</f>
        <v>6.6578893547209157</v>
      </c>
      <c r="F50" s="214">
        <f ca="1">_xlfn.XLOOKUP(F12,'Share Price Data'!1:1,'Share Price Data'!3:3)*F387/F38</f>
        <v>3.6982548439677974</v>
      </c>
      <c r="G50" s="214">
        <f ca="1">_xlfn.XLOOKUP(G12,'Share Price Data'!1:1,'Share Price Data'!3:3)*G387/G38</f>
        <v>3.0681616000844758</v>
      </c>
      <c r="H50" s="166"/>
      <c r="I50" s="166"/>
      <c r="J50" s="166"/>
      <c r="K50" s="166"/>
      <c r="L50" s="166"/>
      <c r="N50" s="5"/>
    </row>
    <row r="51" spans="2:19" x14ac:dyDescent="0.3">
      <c r="C51" t="s">
        <v>478</v>
      </c>
      <c r="D51" s="214">
        <f>D25/-SUM(D26:D28)</f>
        <v>11.244545349597876</v>
      </c>
      <c r="E51" s="214">
        <f t="shared" ref="E51:L51" si="29">E25/-SUM(E26:E28)</f>
        <v>19.041438032166511</v>
      </c>
      <c r="F51" s="214">
        <f t="shared" si="29"/>
        <v>11.21093078641754</v>
      </c>
      <c r="G51" s="214">
        <f t="shared" si="29"/>
        <v>7.3224789293377111</v>
      </c>
      <c r="H51" s="214">
        <f t="shared" ca="1" si="29"/>
        <v>6.2705613569333654</v>
      </c>
      <c r="I51" s="214">
        <f t="shared" ca="1" si="29"/>
        <v>5.9911832739096544</v>
      </c>
      <c r="J51" s="214">
        <f t="shared" ca="1" si="29"/>
        <v>6.1012632449863551</v>
      </c>
      <c r="K51" s="214">
        <f t="shared" ca="1" si="29"/>
        <v>6.6224094481923661</v>
      </c>
      <c r="L51" s="214">
        <f t="shared" ca="1" si="29"/>
        <v>6.930487614647836</v>
      </c>
      <c r="N51" s="5"/>
    </row>
    <row r="52" spans="2:19" x14ac:dyDescent="0.3">
      <c r="D52" s="78"/>
      <c r="E52" s="78"/>
      <c r="F52" s="78"/>
      <c r="G52" s="78"/>
      <c r="L52" s="142" t="str">
        <f>UPPER("Active scenario: "&amp;'Scenario Analysis'!$D$3)</f>
        <v>ACTIVE SCENARIO: BASE CASE</v>
      </c>
      <c r="N52" s="5"/>
    </row>
    <row r="53" spans="2:19" x14ac:dyDescent="0.3">
      <c r="B53" t="s">
        <v>7</v>
      </c>
      <c r="C53" s="2" t="s">
        <v>34</v>
      </c>
      <c r="D53" s="2"/>
      <c r="N53" s="5"/>
    </row>
    <row r="54" spans="2:19" x14ac:dyDescent="0.3">
      <c r="C54" s="14" t="str">
        <f t="shared" ref="C54:L54" si="30">C12</f>
        <v>Fiscal year</v>
      </c>
      <c r="D54" s="6">
        <f t="shared" si="30"/>
        <v>2020</v>
      </c>
      <c r="E54" s="6">
        <f t="shared" si="30"/>
        <v>2021</v>
      </c>
      <c r="F54" s="6">
        <f t="shared" si="30"/>
        <v>2022</v>
      </c>
      <c r="G54" s="6">
        <f t="shared" si="30"/>
        <v>2023</v>
      </c>
      <c r="H54" s="7">
        <f t="shared" si="30"/>
        <v>2024</v>
      </c>
      <c r="I54" s="7">
        <f t="shared" si="30"/>
        <v>2025</v>
      </c>
      <c r="J54" s="7">
        <f t="shared" si="30"/>
        <v>2026</v>
      </c>
      <c r="K54" s="7">
        <f t="shared" si="30"/>
        <v>2027</v>
      </c>
      <c r="L54" s="7">
        <f t="shared" si="30"/>
        <v>2028</v>
      </c>
      <c r="N54" s="146" t="s">
        <v>26</v>
      </c>
    </row>
    <row r="55" spans="2:19" x14ac:dyDescent="0.3">
      <c r="C55" s="8" t="str">
        <f t="shared" ref="C55:L55" si="31">C13</f>
        <v>Fiscal year end date</v>
      </c>
      <c r="D55" s="9">
        <f t="shared" si="31"/>
        <v>44196</v>
      </c>
      <c r="E55" s="9">
        <f t="shared" si="31"/>
        <v>44561</v>
      </c>
      <c r="F55" s="9">
        <f t="shared" si="31"/>
        <v>44926</v>
      </c>
      <c r="G55" s="9">
        <f t="shared" si="31"/>
        <v>45291</v>
      </c>
      <c r="H55" s="9">
        <f t="shared" si="31"/>
        <v>45657</v>
      </c>
      <c r="I55" s="9">
        <f t="shared" si="31"/>
        <v>46022</v>
      </c>
      <c r="J55" s="9">
        <f t="shared" si="31"/>
        <v>46387</v>
      </c>
      <c r="K55" s="9">
        <f t="shared" si="31"/>
        <v>46752</v>
      </c>
      <c r="L55" s="9">
        <f t="shared" si="31"/>
        <v>47118</v>
      </c>
      <c r="N55" s="19" t="s">
        <v>27</v>
      </c>
    </row>
    <row r="56" spans="2:19" x14ac:dyDescent="0.3">
      <c r="N56" s="5"/>
    </row>
    <row r="57" spans="2:19" x14ac:dyDescent="0.3">
      <c r="C57" t="s">
        <v>43</v>
      </c>
      <c r="D57" s="10">
        <f>1081584+1314+1641+D187</f>
        <v>1156947</v>
      </c>
      <c r="E57" s="10">
        <f>874890+4963+E187</f>
        <v>1012335</v>
      </c>
      <c r="F57" s="10">
        <f>804907+1583+F187</f>
        <v>1011126</v>
      </c>
      <c r="G57" s="10">
        <f>589685+19880+G187</f>
        <v>778358</v>
      </c>
      <c r="H57" s="12">
        <f ca="1">G57+H132</f>
        <v>339618.50306212646</v>
      </c>
      <c r="I57" s="12">
        <f ca="1">H57+I132</f>
        <v>373643.1765620599</v>
      </c>
      <c r="J57" s="12">
        <f ca="1">I57+J132</f>
        <v>247188.93078929075</v>
      </c>
      <c r="K57" s="12">
        <f ca="1">J57+K132</f>
        <v>271095.68921712553</v>
      </c>
      <c r="L57" s="12">
        <f ca="1">K57+L132</f>
        <v>201222.4542024933</v>
      </c>
      <c r="N57" s="149">
        <f ca="1">(L57/G57)^(1/($L$54-$G$54))-1</f>
        <v>-0.237044146008209</v>
      </c>
      <c r="O57" s="10"/>
      <c r="P57" s="10"/>
      <c r="Q57" s="10"/>
    </row>
    <row r="58" spans="2:19" x14ac:dyDescent="0.3">
      <c r="C58" t="s">
        <v>35</v>
      </c>
      <c r="D58" s="10">
        <v>333377</v>
      </c>
      <c r="E58" s="10">
        <v>543893</v>
      </c>
      <c r="F58" s="10">
        <v>616010</v>
      </c>
      <c r="G58" s="10">
        <v>651853</v>
      </c>
      <c r="H58" s="12">
        <f ca="1">H156</f>
        <v>667107.60020680772</v>
      </c>
      <c r="I58" s="12">
        <f ca="1">I156</f>
        <v>619743.52564395452</v>
      </c>
      <c r="J58" s="12">
        <f t="shared" ref="J58:L58" ca="1" si="32">J156</f>
        <v>760776.14251103508</v>
      </c>
      <c r="K58" s="12">
        <f t="shared" ca="1" si="32"/>
        <v>854145.5729503429</v>
      </c>
      <c r="L58" s="12">
        <f t="shared" ca="1" si="32"/>
        <v>1055036.2538375943</v>
      </c>
      <c r="N58" s="24"/>
      <c r="O58" s="12"/>
      <c r="P58" s="12"/>
      <c r="Q58" s="12"/>
      <c r="R58" s="12"/>
      <c r="S58" s="12"/>
    </row>
    <row r="59" spans="2:19" x14ac:dyDescent="0.3">
      <c r="C59" t="s">
        <v>118</v>
      </c>
      <c r="D59" s="10">
        <f>467850+D188</f>
        <v>471432</v>
      </c>
      <c r="E59" s="10">
        <f>622478+E188</f>
        <v>624329</v>
      </c>
      <c r="F59" s="10">
        <f>770421+F188</f>
        <v>772091</v>
      </c>
      <c r="G59" s="10">
        <f>781410+G188</f>
        <v>782851</v>
      </c>
      <c r="H59" s="12">
        <f ca="1">H144</f>
        <v>781181.41135168867</v>
      </c>
      <c r="I59" s="12">
        <f t="shared" ref="I59:L59" ca="1" si="33">I144</f>
        <v>760767.67011338123</v>
      </c>
      <c r="J59" s="12">
        <f t="shared" ca="1" si="33"/>
        <v>892587.44286219426</v>
      </c>
      <c r="K59" s="12">
        <f t="shared" ca="1" si="33"/>
        <v>1029309.3401246569</v>
      </c>
      <c r="L59" s="12">
        <f t="shared" ca="1" si="33"/>
        <v>1224821.9775519026</v>
      </c>
      <c r="N59" s="24"/>
    </row>
    <row r="60" spans="2:19" x14ac:dyDescent="0.3">
      <c r="C60" t="s">
        <v>107</v>
      </c>
      <c r="D60" s="10">
        <v>33463</v>
      </c>
      <c r="E60" s="10">
        <v>21901</v>
      </c>
      <c r="F60" s="10">
        <v>36018</v>
      </c>
      <c r="G60" s="10">
        <v>34384</v>
      </c>
      <c r="H60" s="10">
        <f>G60</f>
        <v>34384</v>
      </c>
      <c r="I60" s="10">
        <f t="shared" ref="I60:L60" si="34">H60</f>
        <v>34384</v>
      </c>
      <c r="J60" s="10">
        <f t="shared" si="34"/>
        <v>34384</v>
      </c>
      <c r="K60" s="10">
        <f t="shared" si="34"/>
        <v>34384</v>
      </c>
      <c r="L60" s="10">
        <f t="shared" si="34"/>
        <v>34384</v>
      </c>
      <c r="N60" s="5"/>
    </row>
    <row r="61" spans="2:19" x14ac:dyDescent="0.3">
      <c r="C61" t="s">
        <v>119</v>
      </c>
      <c r="D61" s="10">
        <f>17517+D189</f>
        <v>24697</v>
      </c>
      <c r="E61" s="10">
        <f>18463+E189</f>
        <v>27020</v>
      </c>
      <c r="F61" s="10">
        <f>19886+F189</f>
        <v>27758</v>
      </c>
      <c r="G61" s="10">
        <f>22334+G189</f>
        <v>32362</v>
      </c>
      <c r="H61" s="12">
        <f ca="1">G61*(H16/G16)</f>
        <v>34520.67584786818</v>
      </c>
      <c r="I61" s="12">
        <f ca="1">H61*(I16/H16)</f>
        <v>33680.286259493303</v>
      </c>
      <c r="J61" s="12">
        <f ca="1">I61*(J16/I16)</f>
        <v>36131.838933257452</v>
      </c>
      <c r="K61" s="12">
        <f ca="1">J61*(K16/J16)</f>
        <v>42266.758423552878</v>
      </c>
      <c r="L61" s="12">
        <f ca="1">K61*(L16/K16)</f>
        <v>49968.321242388418</v>
      </c>
      <c r="N61" s="24"/>
      <c r="Q61" s="12"/>
      <c r="R61" s="12"/>
      <c r="S61" s="12"/>
    </row>
    <row r="62" spans="2:19" x14ac:dyDescent="0.3">
      <c r="C62" t="s">
        <v>36</v>
      </c>
      <c r="D62" s="10"/>
      <c r="E62" s="10"/>
      <c r="F62" s="10"/>
      <c r="G62" s="10"/>
      <c r="H62" s="12"/>
      <c r="I62" s="12"/>
      <c r="J62" s="12"/>
      <c r="K62" s="12"/>
      <c r="L62" s="12"/>
      <c r="N62" s="5"/>
    </row>
    <row r="63" spans="2:19" x14ac:dyDescent="0.3">
      <c r="C63" t="s">
        <v>37</v>
      </c>
      <c r="D63" s="10">
        <v>1148302</v>
      </c>
      <c r="E63" s="10">
        <v>1268465</v>
      </c>
      <c r="F63" s="10">
        <v>1662305</v>
      </c>
      <c r="G63" s="10">
        <v>1746515</v>
      </c>
      <c r="H63" s="12">
        <f>H205</f>
        <v>2076455.9548908058</v>
      </c>
      <c r="I63" s="12">
        <f t="shared" ref="I63:L63" si="35">I205</f>
        <v>2502258.9309179853</v>
      </c>
      <c r="J63" s="12">
        <f t="shared" si="35"/>
        <v>2957969.5334290043</v>
      </c>
      <c r="K63" s="12">
        <f t="shared" si="35"/>
        <v>3381735.8713556579</v>
      </c>
      <c r="L63" s="12">
        <f t="shared" si="35"/>
        <v>3772470.764888234</v>
      </c>
      <c r="N63" s="149">
        <f>(L63/G63)^(1/($L$54-$G$54))-1</f>
        <v>0.16651603385492808</v>
      </c>
      <c r="P63" s="12"/>
    </row>
    <row r="64" spans="2:19" x14ac:dyDescent="0.3">
      <c r="C64" t="s">
        <v>116</v>
      </c>
      <c r="D64" s="10">
        <v>178542</v>
      </c>
      <c r="E64" s="10">
        <v>166288</v>
      </c>
      <c r="F64" s="10">
        <v>221748</v>
      </c>
      <c r="G64" s="10">
        <v>230764</v>
      </c>
      <c r="H64" s="12">
        <f ca="1">H271</f>
        <v>256564.7931187599</v>
      </c>
      <c r="I64" s="12">
        <f t="shared" ref="I64:L64" ca="1" si="36">I271</f>
        <v>272336.43770091649</v>
      </c>
      <c r="J64" s="12">
        <f t="shared" ca="1" si="36"/>
        <v>283393.54441433656</v>
      </c>
      <c r="K64" s="12">
        <f t="shared" ca="1" si="36"/>
        <v>294981.97129608423</v>
      </c>
      <c r="L64" s="12">
        <f t="shared" ca="1" si="36"/>
        <v>308171.69461094344</v>
      </c>
      <c r="N64" s="24"/>
      <c r="O64" s="12"/>
      <c r="Q64" s="12"/>
      <c r="R64" s="12"/>
      <c r="S64" s="12"/>
    </row>
    <row r="65" spans="3:16" x14ac:dyDescent="0.3">
      <c r="C65" t="s">
        <v>38</v>
      </c>
      <c r="D65" s="10">
        <v>31000</v>
      </c>
      <c r="E65" s="10">
        <v>31574</v>
      </c>
      <c r="F65" s="10">
        <v>79777</v>
      </c>
      <c r="G65" s="10">
        <v>90665</v>
      </c>
      <c r="H65" s="12">
        <f>H240</f>
        <v>93010.165590263932</v>
      </c>
      <c r="I65" s="12">
        <f t="shared" ref="I65:L65" si="37">I240</f>
        <v>98241.857347463287</v>
      </c>
      <c r="J65" s="12">
        <f t="shared" si="37"/>
        <v>104854.63803823169</v>
      </c>
      <c r="K65" s="12">
        <f t="shared" si="37"/>
        <v>111407.26743507138</v>
      </c>
      <c r="L65" s="12">
        <f t="shared" si="37"/>
        <v>117850.04866508421</v>
      </c>
      <c r="N65" s="24"/>
    </row>
    <row r="66" spans="3:16" x14ac:dyDescent="0.3">
      <c r="C66" t="s">
        <v>39</v>
      </c>
      <c r="D66" s="10">
        <v>1219849</v>
      </c>
      <c r="E66" s="10">
        <v>1231635</v>
      </c>
      <c r="F66" s="10">
        <v>1719170</v>
      </c>
      <c r="G66" s="10">
        <v>1659544</v>
      </c>
      <c r="H66" s="10">
        <f>G66</f>
        <v>1659544</v>
      </c>
      <c r="I66" s="10">
        <f t="shared" ref="I66:L66" si="38">H66</f>
        <v>1659544</v>
      </c>
      <c r="J66" s="10">
        <f t="shared" si="38"/>
        <v>1659544</v>
      </c>
      <c r="K66" s="10">
        <f t="shared" si="38"/>
        <v>1659544</v>
      </c>
      <c r="L66" s="10">
        <f t="shared" si="38"/>
        <v>1659544</v>
      </c>
      <c r="N66" s="5"/>
    </row>
    <row r="67" spans="3:16" x14ac:dyDescent="0.3">
      <c r="C67" t="s">
        <v>108</v>
      </c>
      <c r="D67" s="10">
        <v>316602</v>
      </c>
      <c r="E67" s="10">
        <v>322171</v>
      </c>
      <c r="F67" s="10">
        <v>305127</v>
      </c>
      <c r="G67" s="10">
        <v>310671</v>
      </c>
      <c r="H67" s="10">
        <v>0</v>
      </c>
      <c r="I67" s="10">
        <f>H67+I24</f>
        <v>0</v>
      </c>
      <c r="J67" s="10">
        <f>I67+J24</f>
        <v>0</v>
      </c>
      <c r="K67" s="10">
        <f>J67+K24</f>
        <v>0</v>
      </c>
      <c r="L67" s="10">
        <f>K67+L24</f>
        <v>0</v>
      </c>
      <c r="N67" s="5"/>
    </row>
    <row r="68" spans="3:16" x14ac:dyDescent="0.3">
      <c r="C68" t="s">
        <v>109</v>
      </c>
      <c r="D68" s="10">
        <v>14405</v>
      </c>
      <c r="E68" s="10">
        <v>12913</v>
      </c>
      <c r="F68" s="10">
        <v>18911</v>
      </c>
      <c r="G68" s="10">
        <v>28770</v>
      </c>
      <c r="H68" s="10">
        <f>G68</f>
        <v>28770</v>
      </c>
      <c r="I68" s="10">
        <f t="shared" ref="I68:L68" si="39">H68</f>
        <v>28770</v>
      </c>
      <c r="J68" s="10">
        <f t="shared" si="39"/>
        <v>28770</v>
      </c>
      <c r="K68" s="10">
        <f t="shared" si="39"/>
        <v>28770</v>
      </c>
      <c r="L68" s="10">
        <f t="shared" si="39"/>
        <v>28770</v>
      </c>
      <c r="N68" s="24"/>
    </row>
    <row r="69" spans="3:16" x14ac:dyDescent="0.3">
      <c r="C69" t="s">
        <v>40</v>
      </c>
      <c r="E69" s="10"/>
      <c r="F69" s="10"/>
      <c r="G69" s="10"/>
      <c r="H69" s="10">
        <v>250000</v>
      </c>
      <c r="I69" s="10">
        <f>H69-83000</f>
        <v>167000</v>
      </c>
      <c r="J69" s="10">
        <f t="shared" ref="J69" si="40">I69-83000</f>
        <v>84000</v>
      </c>
      <c r="K69" s="10">
        <v>0</v>
      </c>
      <c r="L69" s="10">
        <v>0</v>
      </c>
      <c r="N69" s="5"/>
    </row>
    <row r="70" spans="3:16" x14ac:dyDescent="0.3">
      <c r="C70" s="2" t="s">
        <v>41</v>
      </c>
      <c r="D70" s="11">
        <f>SUM(D57:D69)</f>
        <v>4928616</v>
      </c>
      <c r="E70" s="11">
        <f>SUM(E57:E69)</f>
        <v>5262524</v>
      </c>
      <c r="F70" s="11">
        <f>SUM(F57:F69)</f>
        <v>6470041</v>
      </c>
      <c r="G70" s="11">
        <f>SUM(G57:G69)</f>
        <v>6346737</v>
      </c>
      <c r="H70" s="11">
        <f t="shared" ref="H70:L70" ca="1" si="41">SUM(H57:H69)</f>
        <v>6221157.1040683212</v>
      </c>
      <c r="I70" s="11">
        <f t="shared" ca="1" si="41"/>
        <v>6550369.8845452536</v>
      </c>
      <c r="J70" s="11">
        <f t="shared" ca="1" si="41"/>
        <v>7089600.0709773507</v>
      </c>
      <c r="K70" s="11">
        <f t="shared" ca="1" si="41"/>
        <v>7707640.4708024915</v>
      </c>
      <c r="L70" s="11">
        <f t="shared" ca="1" si="41"/>
        <v>8452239.5149986409</v>
      </c>
      <c r="N70" s="149">
        <f ca="1">(L70/G70)^(1/($L$54-$G$54))-1</f>
        <v>5.8971467101917252E-2</v>
      </c>
    </row>
    <row r="71" spans="3:16" x14ac:dyDescent="0.3">
      <c r="H71" s="12"/>
      <c r="I71" s="12"/>
      <c r="J71" s="12"/>
      <c r="K71" s="12"/>
      <c r="L71" s="12"/>
      <c r="N71" s="5"/>
    </row>
    <row r="72" spans="3:16" x14ac:dyDescent="0.3">
      <c r="C72" t="s">
        <v>42</v>
      </c>
      <c r="D72" s="10">
        <v>459618</v>
      </c>
      <c r="E72" s="10">
        <v>601605</v>
      </c>
      <c r="F72" s="10">
        <v>781742</v>
      </c>
      <c r="G72" s="10">
        <v>792512</v>
      </c>
      <c r="H72" s="12">
        <f ca="1">H166</f>
        <v>764293.95434246166</v>
      </c>
      <c r="I72" s="12">
        <f t="shared" ref="I72:L72" ca="1" si="42">I166</f>
        <v>758773.67954118014</v>
      </c>
      <c r="J72" s="12">
        <f t="shared" ca="1" si="42"/>
        <v>875156.44824773911</v>
      </c>
      <c r="K72" s="12">
        <f t="shared" ca="1" si="42"/>
        <v>1036202.951969563</v>
      </c>
      <c r="L72" s="12">
        <f t="shared" ca="1" si="42"/>
        <v>1217257.5648948876</v>
      </c>
      <c r="N72" s="24"/>
    </row>
    <row r="73" spans="3:16" x14ac:dyDescent="0.3">
      <c r="C73" s="23" t="s">
        <v>110</v>
      </c>
      <c r="D73" s="10">
        <f>96159+1998</f>
        <v>98157</v>
      </c>
      <c r="E73" s="10">
        <f>276492+2083</f>
        <v>278575</v>
      </c>
      <c r="F73" s="10">
        <f>468144+4193</f>
        <v>472337</v>
      </c>
      <c r="G73" s="10">
        <f>318493+7882</f>
        <v>326375</v>
      </c>
      <c r="H73" s="12">
        <f ca="1">H354</f>
        <v>249841.20462730998</v>
      </c>
      <c r="I73" s="12">
        <f t="shared" ref="I73:L73" ca="1" si="43">I354</f>
        <v>200000</v>
      </c>
      <c r="J73" s="12">
        <f t="shared" ca="1" si="43"/>
        <v>169967.59050834563</v>
      </c>
      <c r="K73" s="12">
        <f t="shared" ca="1" si="43"/>
        <v>176980.21006683155</v>
      </c>
      <c r="L73" s="12">
        <f t="shared" ca="1" si="43"/>
        <v>252358.73291859831</v>
      </c>
      <c r="N73" s="24"/>
    </row>
    <row r="74" spans="3:16" x14ac:dyDescent="0.3">
      <c r="C74" t="s">
        <v>121</v>
      </c>
      <c r="D74" s="10">
        <f>22819+D192</f>
        <v>73922</v>
      </c>
      <c r="E74" s="10">
        <f>23318+E192</f>
        <v>86389</v>
      </c>
      <c r="F74" s="10">
        <f>28771+F192</f>
        <v>121251</v>
      </c>
      <c r="G74" s="10">
        <f>25245+G192</f>
        <v>108904</v>
      </c>
      <c r="H74" s="10">
        <f t="shared" ref="H74:L79" si="44">G74</f>
        <v>108904</v>
      </c>
      <c r="I74" s="10">
        <f t="shared" si="44"/>
        <v>108904</v>
      </c>
      <c r="J74" s="10">
        <f t="shared" si="44"/>
        <v>108904</v>
      </c>
      <c r="K74" s="10">
        <f t="shared" si="44"/>
        <v>108904</v>
      </c>
      <c r="L74" s="10">
        <f t="shared" si="44"/>
        <v>108904</v>
      </c>
      <c r="N74" s="24"/>
    </row>
    <row r="75" spans="3:16" x14ac:dyDescent="0.3">
      <c r="C75" t="s">
        <v>44</v>
      </c>
      <c r="D75" s="10">
        <v>7286</v>
      </c>
      <c r="E75" s="10">
        <v>4755</v>
      </c>
      <c r="F75" s="10">
        <v>9733</v>
      </c>
      <c r="G75" s="10">
        <v>15232</v>
      </c>
      <c r="H75" s="10">
        <f t="shared" si="44"/>
        <v>15232</v>
      </c>
      <c r="I75" s="10">
        <f t="shared" si="44"/>
        <v>15232</v>
      </c>
      <c r="J75" s="10">
        <f t="shared" si="44"/>
        <v>15232</v>
      </c>
      <c r="K75" s="10">
        <f t="shared" si="44"/>
        <v>15232</v>
      </c>
      <c r="L75" s="10">
        <f t="shared" si="44"/>
        <v>15232</v>
      </c>
      <c r="N75" s="24"/>
    </row>
    <row r="76" spans="3:16" x14ac:dyDescent="0.3">
      <c r="C76" t="s">
        <v>111</v>
      </c>
      <c r="D76" s="10">
        <f>268177+963+D190</f>
        <v>1163155</v>
      </c>
      <c r="E76" s="10">
        <f>228946+E190</f>
        <v>1034613</v>
      </c>
      <c r="F76" s="10">
        <f>319164+F190</f>
        <v>1618771</v>
      </c>
      <c r="G76" s="10">
        <f>421522+35622+G190</f>
        <v>1623218</v>
      </c>
      <c r="H76" s="12">
        <f>H364</f>
        <v>1471718</v>
      </c>
      <c r="I76" s="12">
        <f t="shared" ref="I76:L76" si="45">I364</f>
        <v>1719413.3</v>
      </c>
      <c r="J76" s="12">
        <f t="shared" si="45"/>
        <v>2018108.5999999999</v>
      </c>
      <c r="K76" s="12">
        <f t="shared" si="45"/>
        <v>2316803.8999999994</v>
      </c>
      <c r="L76" s="12">
        <f t="shared" si="45"/>
        <v>2615499.1999999993</v>
      </c>
      <c r="N76" s="149">
        <f>(L76/G76)^(1/($L$54-$G$54))-1</f>
        <v>0.10010857101564929</v>
      </c>
      <c r="O76" s="43"/>
      <c r="P76" s="43"/>
    </row>
    <row r="77" spans="3:16" x14ac:dyDescent="0.3">
      <c r="C77" t="s">
        <v>112</v>
      </c>
      <c r="D77" s="10">
        <f>30072+D191</f>
        <v>171194</v>
      </c>
      <c r="E77" s="10">
        <f>23742+E191</f>
        <v>161917</v>
      </c>
      <c r="F77" s="10">
        <f>27735+F191</f>
        <v>224649</v>
      </c>
      <c r="G77" s="10">
        <f>38070+G191</f>
        <v>238758</v>
      </c>
      <c r="H77" s="12">
        <f ca="1">H300</f>
        <v>265520.51362654072</v>
      </c>
      <c r="I77" s="12">
        <f t="shared" ref="I77:L77" ca="1" si="46">I300</f>
        <v>286047.76116179</v>
      </c>
      <c r="J77" s="12">
        <f t="shared" ca="1" si="46"/>
        <v>307096.81418421934</v>
      </c>
      <c r="K77" s="12">
        <f t="shared" ca="1" si="46"/>
        <v>335073.00631913793</v>
      </c>
      <c r="L77" s="12">
        <f t="shared" ca="1" si="46"/>
        <v>372456.93961147091</v>
      </c>
      <c r="N77" s="24"/>
      <c r="O77" s="12"/>
    </row>
    <row r="78" spans="3:16" x14ac:dyDescent="0.3">
      <c r="C78" t="s">
        <v>113</v>
      </c>
      <c r="D78" s="10">
        <v>127894</v>
      </c>
      <c r="E78" s="10">
        <v>138828</v>
      </c>
      <c r="F78" s="10">
        <v>148588</v>
      </c>
      <c r="G78" s="10">
        <v>151785</v>
      </c>
      <c r="H78" s="10">
        <f t="shared" si="44"/>
        <v>151785</v>
      </c>
      <c r="I78" s="10">
        <f t="shared" si="44"/>
        <v>151785</v>
      </c>
      <c r="J78" s="10">
        <f t="shared" si="44"/>
        <v>151785</v>
      </c>
      <c r="K78" s="10">
        <f t="shared" si="44"/>
        <v>151785</v>
      </c>
      <c r="L78" s="10">
        <f t="shared" si="44"/>
        <v>151785</v>
      </c>
      <c r="N78" s="24"/>
    </row>
    <row r="79" spans="3:16" x14ac:dyDescent="0.3">
      <c r="C79" t="s">
        <v>114</v>
      </c>
      <c r="D79" s="10">
        <v>60189</v>
      </c>
      <c r="E79" s="10">
        <v>56438</v>
      </c>
      <c r="F79" s="10">
        <v>40163</v>
      </c>
      <c r="G79" s="10">
        <v>40929</v>
      </c>
      <c r="H79" s="10">
        <f t="shared" si="44"/>
        <v>40929</v>
      </c>
      <c r="I79" s="10">
        <f t="shared" si="44"/>
        <v>40929</v>
      </c>
      <c r="J79" s="10">
        <f t="shared" si="44"/>
        <v>40929</v>
      </c>
      <c r="K79" s="10">
        <f t="shared" si="44"/>
        <v>40929</v>
      </c>
      <c r="L79" s="10">
        <f t="shared" si="44"/>
        <v>40929</v>
      </c>
      <c r="N79" s="5"/>
    </row>
    <row r="80" spans="3:16" x14ac:dyDescent="0.3">
      <c r="C80" t="s">
        <v>45</v>
      </c>
      <c r="D80" s="10">
        <v>146868</v>
      </c>
      <c r="E80" s="10">
        <v>163039</v>
      </c>
      <c r="F80" s="10">
        <v>192517</v>
      </c>
      <c r="G80" s="10">
        <f>137820+148259</f>
        <v>286079</v>
      </c>
      <c r="H80" s="10">
        <v>286079</v>
      </c>
      <c r="I80" s="10">
        <v>286079</v>
      </c>
      <c r="J80" s="10">
        <v>286079</v>
      </c>
      <c r="K80" s="10">
        <f>J80-41000</f>
        <v>245079</v>
      </c>
      <c r="L80" s="10">
        <f>K80-41000</f>
        <v>204079</v>
      </c>
      <c r="N80" s="5"/>
    </row>
    <row r="81" spans="3:19" x14ac:dyDescent="0.3">
      <c r="C81" s="2" t="s">
        <v>46</v>
      </c>
      <c r="D81" s="11">
        <f t="shared" ref="D81:F81" si="47">SUM(D72:D80)</f>
        <v>2308283</v>
      </c>
      <c r="E81" s="11">
        <f t="shared" si="47"/>
        <v>2526159</v>
      </c>
      <c r="F81" s="11">
        <f t="shared" si="47"/>
        <v>3609751</v>
      </c>
      <c r="G81" s="11">
        <f t="shared" ref="G81:L81" si="48">SUM(G72:G80)</f>
        <v>3583792</v>
      </c>
      <c r="H81" s="11">
        <f ca="1">SUM(H72:H80)</f>
        <v>3354302.6725963121</v>
      </c>
      <c r="I81" s="11">
        <f t="shared" ca="1" si="48"/>
        <v>3567163.74070297</v>
      </c>
      <c r="J81" s="11">
        <f t="shared" ca="1" si="48"/>
        <v>3973258.4529403038</v>
      </c>
      <c r="K81" s="11">
        <f t="shared" ca="1" si="48"/>
        <v>4426989.0683555324</v>
      </c>
      <c r="L81" s="11">
        <f t="shared" ca="1" si="48"/>
        <v>4978501.4374249568</v>
      </c>
      <c r="N81" s="149">
        <f ca="1">(L81/G81)^(1/($L$54-$G$54))-1</f>
        <v>6.7950610236379827E-2</v>
      </c>
    </row>
    <row r="82" spans="3:19" x14ac:dyDescent="0.3">
      <c r="H82" s="12"/>
      <c r="I82" s="12"/>
      <c r="J82" s="12"/>
      <c r="K82" s="12"/>
      <c r="L82" s="12"/>
      <c r="N82" s="5"/>
    </row>
    <row r="83" spans="3:19" x14ac:dyDescent="0.3">
      <c r="C83" t="s">
        <v>154</v>
      </c>
      <c r="D83" s="10">
        <f>129538+1593902</f>
        <v>1723440</v>
      </c>
      <c r="E83" s="10">
        <f>128177+1547236</f>
        <v>1675413</v>
      </c>
      <c r="F83" s="10">
        <f>128692+1550120</f>
        <v>1678812</v>
      </c>
      <c r="G83" s="10">
        <f>128994+1553914</f>
        <v>1682908</v>
      </c>
      <c r="H83" s="12">
        <f ca="1">H327</f>
        <v>1699266.0845967827</v>
      </c>
      <c r="I83" s="12">
        <f t="shared" ref="I83:L83" ca="1" si="49">I327</f>
        <v>1715921.9585325541</v>
      </c>
      <c r="J83" s="12">
        <f t="shared" ca="1" si="49"/>
        <v>1733405.0296900549</v>
      </c>
      <c r="K83" s="12">
        <f t="shared" ca="1" si="49"/>
        <v>1749084.5210428813</v>
      </c>
      <c r="L83" s="12">
        <f t="shared" ca="1" si="49"/>
        <v>1761367.7046802463</v>
      </c>
      <c r="N83" s="24"/>
    </row>
    <row r="84" spans="3:19" x14ac:dyDescent="0.3">
      <c r="C84" t="s">
        <v>115</v>
      </c>
      <c r="D84" s="10">
        <f>777611--2034</f>
        <v>779645</v>
      </c>
      <c r="E84" s="10">
        <f>941249--1949</f>
        <v>943198</v>
      </c>
      <c r="F84" s="10">
        <f>1054652--1990</f>
        <v>1056642</v>
      </c>
      <c r="G84" s="10">
        <f>948449--1357</f>
        <v>949806</v>
      </c>
      <c r="H84" s="12">
        <f ca="1">H311</f>
        <v>1037030.6802085589</v>
      </c>
      <c r="I84" s="12">
        <f t="shared" ref="I84:L84" ca="1" si="50">I311</f>
        <v>1136399.8519763965</v>
      </c>
      <c r="J84" s="12">
        <f t="shared" ca="1" si="50"/>
        <v>1251725.5883469891</v>
      </c>
      <c r="K84" s="12">
        <f t="shared" ca="1" si="50"/>
        <v>1400029.2147374291</v>
      </c>
      <c r="L84" s="12">
        <f t="shared" ca="1" si="50"/>
        <v>1580506.0395711982</v>
      </c>
      <c r="N84" s="24"/>
      <c r="P84" s="43"/>
      <c r="Q84" s="43"/>
      <c r="R84" s="43"/>
      <c r="S84" s="43"/>
    </row>
    <row r="85" spans="3:19" x14ac:dyDescent="0.3">
      <c r="C85" t="s">
        <v>157</v>
      </c>
      <c r="D85" s="10">
        <v>-2034</v>
      </c>
      <c r="E85" s="10">
        <v>-1949</v>
      </c>
      <c r="F85" s="10">
        <v>-1990</v>
      </c>
      <c r="G85" s="10">
        <v>-1357</v>
      </c>
      <c r="H85" s="12">
        <f>H321</f>
        <v>-1358.3333333333333</v>
      </c>
      <c r="I85" s="12">
        <f t="shared" ref="I85:L85" si="51">I321</f>
        <v>-1359.6666666666665</v>
      </c>
      <c r="J85" s="12">
        <f t="shared" si="51"/>
        <v>-1360.9999999999998</v>
      </c>
      <c r="K85" s="12">
        <f t="shared" si="51"/>
        <v>-1362.333333333333</v>
      </c>
      <c r="L85" s="12">
        <f t="shared" si="51"/>
        <v>-1363.6666666666663</v>
      </c>
      <c r="N85" s="24"/>
      <c r="P85" s="43"/>
      <c r="Q85" s="43"/>
      <c r="R85" s="43"/>
      <c r="S85" s="43"/>
    </row>
    <row r="86" spans="3:19" x14ac:dyDescent="0.3">
      <c r="C86" t="s">
        <v>47</v>
      </c>
      <c r="D86" s="10">
        <v>119282</v>
      </c>
      <c r="E86" s="10">
        <v>119703</v>
      </c>
      <c r="F86" s="10">
        <v>126826</v>
      </c>
      <c r="G86" s="10">
        <v>131588</v>
      </c>
      <c r="H86" s="12">
        <f ca="1">H335</f>
        <v>131916</v>
      </c>
      <c r="I86" s="12">
        <f t="shared" ref="I86:L86" ca="1" si="52">I335</f>
        <v>132244</v>
      </c>
      <c r="J86" s="12">
        <f t="shared" ca="1" si="52"/>
        <v>132572</v>
      </c>
      <c r="K86" s="12">
        <f t="shared" ca="1" si="52"/>
        <v>132900</v>
      </c>
      <c r="L86" s="12">
        <f t="shared" ca="1" si="52"/>
        <v>133228</v>
      </c>
      <c r="N86" s="24"/>
    </row>
    <row r="87" spans="3:19" x14ac:dyDescent="0.3">
      <c r="C87" s="2" t="s">
        <v>48</v>
      </c>
      <c r="D87" s="16">
        <f t="shared" ref="D87:F87" si="53">SUM(D83:D86)</f>
        <v>2620333</v>
      </c>
      <c r="E87" s="16">
        <f t="shared" si="53"/>
        <v>2736365</v>
      </c>
      <c r="F87" s="16">
        <f t="shared" si="53"/>
        <v>2860290</v>
      </c>
      <c r="G87" s="16">
        <f t="shared" ref="G87:L87" si="54">SUM(G83:G86)</f>
        <v>2762945</v>
      </c>
      <c r="H87" s="16">
        <f t="shared" ca="1" si="54"/>
        <v>2866854.4314720081</v>
      </c>
      <c r="I87" s="16">
        <f t="shared" ca="1" si="54"/>
        <v>2983206.1438422841</v>
      </c>
      <c r="J87" s="16">
        <f t="shared" ca="1" si="54"/>
        <v>3116341.6180370441</v>
      </c>
      <c r="K87" s="16">
        <f t="shared" ca="1" si="54"/>
        <v>3280651.4024469769</v>
      </c>
      <c r="L87" s="16">
        <f t="shared" ca="1" si="54"/>
        <v>3473738.077584778</v>
      </c>
      <c r="N87" s="149">
        <f ca="1">(L87/G87)^(1/($L$54-$G$54))-1</f>
        <v>4.6851225722587486E-2</v>
      </c>
    </row>
    <row r="88" spans="3:19" x14ac:dyDescent="0.3">
      <c r="N88" s="5"/>
    </row>
    <row r="89" spans="3:19" x14ac:dyDescent="0.3">
      <c r="C89" s="5" t="s">
        <v>49</v>
      </c>
      <c r="D89" s="24">
        <f t="shared" ref="D89:L89" si="55">ROUND(D70-D81-D87,3)</f>
        <v>0</v>
      </c>
      <c r="E89" s="24">
        <f t="shared" si="55"/>
        <v>0</v>
      </c>
      <c r="F89" s="24">
        <f t="shared" si="55"/>
        <v>0</v>
      </c>
      <c r="G89" s="24">
        <f t="shared" si="55"/>
        <v>0</v>
      </c>
      <c r="H89" s="24">
        <f t="shared" ca="1" si="55"/>
        <v>0</v>
      </c>
      <c r="I89" s="24">
        <f t="shared" ca="1" si="55"/>
        <v>0</v>
      </c>
      <c r="J89" s="24">
        <f t="shared" ca="1" si="55"/>
        <v>0</v>
      </c>
      <c r="K89" s="24">
        <f t="shared" ca="1" si="55"/>
        <v>0</v>
      </c>
      <c r="L89" s="24">
        <f t="shared" ca="1" si="55"/>
        <v>0</v>
      </c>
      <c r="N89" s="5"/>
    </row>
    <row r="90" spans="3:19" x14ac:dyDescent="0.3">
      <c r="C90" s="5"/>
      <c r="D90" s="24"/>
      <c r="E90" s="24"/>
      <c r="F90" s="24"/>
      <c r="G90" s="24"/>
      <c r="H90" s="24"/>
      <c r="I90" s="24"/>
      <c r="J90" s="24"/>
      <c r="K90" s="24"/>
      <c r="L90" s="24"/>
      <c r="N90" s="5"/>
    </row>
    <row r="91" spans="3:19" x14ac:dyDescent="0.3">
      <c r="C91" s="20" t="s">
        <v>476</v>
      </c>
      <c r="D91" s="24"/>
      <c r="E91" s="24"/>
      <c r="F91" s="24"/>
      <c r="G91" s="24"/>
      <c r="H91" s="24"/>
      <c r="I91" s="24"/>
      <c r="J91" s="24"/>
      <c r="K91" s="24"/>
      <c r="L91" s="24"/>
      <c r="N91" s="5"/>
    </row>
    <row r="92" spans="3:19" x14ac:dyDescent="0.3">
      <c r="C92" t="s">
        <v>477</v>
      </c>
      <c r="D92" s="155">
        <f>D81/D87</f>
        <v>0.88091208254828679</v>
      </c>
      <c r="E92" s="155">
        <f t="shared" ref="E92:L92" si="56">E81/E87</f>
        <v>0.92318056984356989</v>
      </c>
      <c r="F92" s="155">
        <f t="shared" si="56"/>
        <v>1.2620227319607453</v>
      </c>
      <c r="G92" s="155">
        <f t="shared" si="56"/>
        <v>1.2970913282747214</v>
      </c>
      <c r="H92" s="155">
        <f t="shared" ca="1" si="56"/>
        <v>1.170028947327479</v>
      </c>
      <c r="I92" s="155">
        <f t="shared" ca="1" si="56"/>
        <v>1.1957483220078668</v>
      </c>
      <c r="J92" s="155">
        <f t="shared" ca="1" si="56"/>
        <v>1.2749752562246446</v>
      </c>
      <c r="K92" s="155">
        <f t="shared" ca="1" si="56"/>
        <v>1.3494237958514956</v>
      </c>
      <c r="L92" s="155">
        <f t="shared" ca="1" si="56"/>
        <v>1.4331827346310495</v>
      </c>
      <c r="N92" s="5"/>
    </row>
    <row r="93" spans="3:19" x14ac:dyDescent="0.3">
      <c r="C93" t="s">
        <v>479</v>
      </c>
      <c r="D93" s="155">
        <f>D183</f>
        <v>2.1832526953235964</v>
      </c>
      <c r="E93" s="155">
        <f t="shared" ref="E93:L93" si="57">E183</f>
        <v>1.7973247563829686</v>
      </c>
      <c r="F93" s="155">
        <f t="shared" si="57"/>
        <v>1.3716680024544339</v>
      </c>
      <c r="G93" s="155">
        <f t="shared" si="57"/>
        <v>1.2689314133271445</v>
      </c>
      <c r="H93" s="155">
        <f t="shared" ca="1" si="57"/>
        <v>1.0817666102519254</v>
      </c>
      <c r="I93" s="155">
        <f t="shared" ca="1" si="57"/>
        <v>1.0986921812585033</v>
      </c>
      <c r="J93" s="155">
        <f t="shared" ca="1" si="57"/>
        <v>1.1328373726156591</v>
      </c>
      <c r="K93" s="155">
        <f t="shared" ca="1" si="57"/>
        <v>1.1727198018238181</v>
      </c>
      <c r="L93" s="155">
        <f t="shared" ca="1" si="57"/>
        <v>1.1894291759646336</v>
      </c>
      <c r="N93" s="5"/>
    </row>
    <row r="94" spans="3:19" x14ac:dyDescent="0.3">
      <c r="C94" t="s">
        <v>480</v>
      </c>
      <c r="D94" s="155">
        <f>D184</f>
        <v>1.7499751998665303</v>
      </c>
      <c r="E94" s="155">
        <f t="shared" ref="E94:L94" si="58">E184</f>
        <v>1.294063178059867</v>
      </c>
      <c r="F94" s="155">
        <f t="shared" si="58"/>
        <v>0.96183489663198496</v>
      </c>
      <c r="G94" s="155">
        <f t="shared" si="58"/>
        <v>0.84068263931951226</v>
      </c>
      <c r="H94" s="155">
        <f t="shared" ca="1" si="58"/>
        <v>0.61333712101342552</v>
      </c>
      <c r="I94" s="155">
        <f t="shared" ca="1" si="58"/>
        <v>0.64516536247043055</v>
      </c>
      <c r="J94" s="155">
        <f t="shared" ca="1" si="58"/>
        <v>0.61331803524237594</v>
      </c>
      <c r="K94" s="155">
        <f t="shared" ca="1" si="58"/>
        <v>0.64622775833434287</v>
      </c>
      <c r="L94" s="155">
        <f t="shared" ca="1" si="58"/>
        <v>0.62624338581333761</v>
      </c>
      <c r="N94" s="5"/>
    </row>
    <row r="95" spans="3:19" x14ac:dyDescent="0.3">
      <c r="D95" s="12"/>
      <c r="E95" s="12"/>
      <c r="F95" s="12"/>
      <c r="G95" s="12"/>
      <c r="H95" s="12"/>
      <c r="I95" s="12"/>
      <c r="J95" s="12"/>
      <c r="K95" s="12"/>
      <c r="L95" s="12"/>
      <c r="N95" s="5"/>
    </row>
    <row r="96" spans="3:19" x14ac:dyDescent="0.3">
      <c r="C96" s="5"/>
      <c r="D96" s="12"/>
      <c r="E96" s="12"/>
      <c r="F96" s="12"/>
      <c r="G96" s="12"/>
      <c r="H96" s="12"/>
      <c r="I96" s="12"/>
      <c r="J96" s="12"/>
      <c r="K96" s="12"/>
      <c r="L96" s="12"/>
      <c r="N96" s="5"/>
    </row>
    <row r="97" spans="2:17" x14ac:dyDescent="0.3">
      <c r="C97" s="5"/>
      <c r="D97" s="5"/>
      <c r="E97" s="24"/>
      <c r="F97" s="24"/>
      <c r="G97" s="167"/>
      <c r="H97" s="24"/>
      <c r="I97" s="24"/>
      <c r="L97" s="142" t="str">
        <f>UPPER("Active scenario: "&amp;'Scenario Analysis'!$D$3)</f>
        <v>ACTIVE SCENARIO: BASE CASE</v>
      </c>
      <c r="N97" s="5"/>
    </row>
    <row r="98" spans="2:17" x14ac:dyDescent="0.3">
      <c r="B98" t="s">
        <v>7</v>
      </c>
      <c r="C98" s="2" t="s">
        <v>50</v>
      </c>
      <c r="D98" s="2"/>
      <c r="N98" s="5"/>
    </row>
    <row r="99" spans="2:17" x14ac:dyDescent="0.3">
      <c r="C99" s="14" t="str">
        <f t="shared" ref="C99:L99" si="59">C12</f>
        <v>Fiscal year</v>
      </c>
      <c r="D99" s="6">
        <f t="shared" si="59"/>
        <v>2020</v>
      </c>
      <c r="E99" s="6">
        <f t="shared" si="59"/>
        <v>2021</v>
      </c>
      <c r="F99" s="6">
        <f t="shared" si="59"/>
        <v>2022</v>
      </c>
      <c r="G99" s="6">
        <f t="shared" si="59"/>
        <v>2023</v>
      </c>
      <c r="H99" s="7">
        <f t="shared" si="59"/>
        <v>2024</v>
      </c>
      <c r="I99" s="7">
        <f t="shared" si="59"/>
        <v>2025</v>
      </c>
      <c r="J99" s="7">
        <f t="shared" si="59"/>
        <v>2026</v>
      </c>
      <c r="K99" s="7">
        <f t="shared" si="59"/>
        <v>2027</v>
      </c>
      <c r="L99" s="7">
        <f t="shared" si="59"/>
        <v>2028</v>
      </c>
      <c r="N99" s="146" t="s">
        <v>26</v>
      </c>
    </row>
    <row r="100" spans="2:17" x14ac:dyDescent="0.3">
      <c r="C100" s="8" t="str">
        <f t="shared" ref="C100:L100" si="60">C13</f>
        <v>Fiscal year end date</v>
      </c>
      <c r="D100" s="9">
        <f t="shared" si="60"/>
        <v>44196</v>
      </c>
      <c r="E100" s="9">
        <f t="shared" si="60"/>
        <v>44561</v>
      </c>
      <c r="F100" s="9">
        <f t="shared" si="60"/>
        <v>44926</v>
      </c>
      <c r="G100" s="9">
        <f t="shared" si="60"/>
        <v>45291</v>
      </c>
      <c r="H100" s="9">
        <f t="shared" si="60"/>
        <v>45657</v>
      </c>
      <c r="I100" s="9">
        <f t="shared" si="60"/>
        <v>46022</v>
      </c>
      <c r="J100" s="9">
        <f t="shared" si="60"/>
        <v>46387</v>
      </c>
      <c r="K100" s="9">
        <f t="shared" si="60"/>
        <v>46752</v>
      </c>
      <c r="L100" s="9">
        <f t="shared" si="60"/>
        <v>47118</v>
      </c>
      <c r="N100" s="19" t="s">
        <v>27</v>
      </c>
    </row>
    <row r="101" spans="2:17" x14ac:dyDescent="0.3">
      <c r="N101" s="5"/>
    </row>
    <row r="102" spans="2:17" x14ac:dyDescent="0.3">
      <c r="C102" t="s">
        <v>23</v>
      </c>
      <c r="E102" s="12"/>
      <c r="F102" s="12"/>
      <c r="G102" s="12"/>
      <c r="H102" s="12">
        <f ca="1">H32</f>
        <v>302563.57555254363</v>
      </c>
      <c r="I102" s="12">
        <f ca="1">I32</f>
        <v>295448.73739094031</v>
      </c>
      <c r="J102" s="12">
        <f ca="1">J32</f>
        <v>342891.48830764682</v>
      </c>
      <c r="K102" s="12">
        <f ca="1">K32</f>
        <v>440942.78323991154</v>
      </c>
      <c r="L102" s="12">
        <f ca="1">L32</f>
        <v>536601.5342265045</v>
      </c>
      <c r="N102" s="149"/>
    </row>
    <row r="103" spans="2:17" x14ac:dyDescent="0.3">
      <c r="C103" t="s">
        <v>53</v>
      </c>
      <c r="E103" s="43"/>
      <c r="F103" s="43"/>
      <c r="G103" s="12"/>
      <c r="H103" s="43">
        <f ca="1">H288</f>
        <v>141200.7097588348</v>
      </c>
      <c r="I103" s="43">
        <f ca="1">I288</f>
        <v>171417.2469309663</v>
      </c>
      <c r="J103" s="43">
        <f ca="1">J288</f>
        <v>209338.73003096273</v>
      </c>
      <c r="K103" s="43">
        <f ca="1">K288</f>
        <v>251648.51206776983</v>
      </c>
      <c r="L103" s="43">
        <f ca="1">L288</f>
        <v>296844.65916553058</v>
      </c>
      <c r="N103" s="223"/>
      <c r="O103" s="43"/>
      <c r="Q103" s="43"/>
    </row>
    <row r="104" spans="2:17" x14ac:dyDescent="0.3">
      <c r="C104" t="s">
        <v>29</v>
      </c>
      <c r="G104" s="43"/>
      <c r="H104" s="43">
        <f ca="1">H37</f>
        <v>12358.084596782679</v>
      </c>
      <c r="I104" s="43">
        <f ca="1">I37</f>
        <v>12155.873935771291</v>
      </c>
      <c r="J104" s="43">
        <f ca="1">J37</f>
        <v>12983.071157500897</v>
      </c>
      <c r="K104" s="43">
        <f ca="1">K37</f>
        <v>10679.491352826275</v>
      </c>
      <c r="L104" s="43">
        <f ca="1">L37</f>
        <v>7283.1836373650785</v>
      </c>
      <c r="N104" s="149"/>
      <c r="O104" s="43"/>
      <c r="Q104" s="43"/>
    </row>
    <row r="105" spans="2:17" x14ac:dyDescent="0.3">
      <c r="C105" t="s">
        <v>152</v>
      </c>
      <c r="E105" s="12"/>
      <c r="F105" s="12"/>
      <c r="G105" s="12"/>
      <c r="H105" s="12">
        <f>-H24</f>
        <v>0</v>
      </c>
      <c r="I105" s="12">
        <f>-I24</f>
        <v>0</v>
      </c>
      <c r="J105" s="12">
        <f>-J24</f>
        <v>0</v>
      </c>
      <c r="K105" s="12">
        <f>-K24</f>
        <v>0</v>
      </c>
      <c r="L105" s="12">
        <f>-L24</f>
        <v>0</v>
      </c>
      <c r="N105" s="5"/>
      <c r="O105" s="43"/>
    </row>
    <row r="106" spans="2:17" x14ac:dyDescent="0.3">
      <c r="C106" t="s">
        <v>54</v>
      </c>
      <c r="E106" s="12"/>
      <c r="F106" s="12"/>
      <c r="G106" s="12"/>
      <c r="H106" s="12">
        <f t="shared" ref="H106:L107" ca="1" si="61">-(H58-G58)</f>
        <v>-15254.600206807721</v>
      </c>
      <c r="I106" s="12">
        <f t="shared" ca="1" si="61"/>
        <v>47364.074562853202</v>
      </c>
      <c r="J106" s="12">
        <f t="shared" ca="1" si="61"/>
        <v>-141032.61686708056</v>
      </c>
      <c r="K106" s="12">
        <f t="shared" ca="1" si="61"/>
        <v>-93369.43043930782</v>
      </c>
      <c r="L106" s="12">
        <f t="shared" ca="1" si="61"/>
        <v>-200890.68088725139</v>
      </c>
      <c r="N106" s="5"/>
      <c r="O106" s="43"/>
    </row>
    <row r="107" spans="2:17" x14ac:dyDescent="0.3">
      <c r="C107" t="s">
        <v>55</v>
      </c>
      <c r="E107" s="12"/>
      <c r="F107" s="12"/>
      <c r="G107" s="12"/>
      <c r="H107" s="12">
        <f t="shared" ca="1" si="61"/>
        <v>1669.5886483113281</v>
      </c>
      <c r="I107" s="12">
        <f t="shared" ca="1" si="61"/>
        <v>20413.741238307441</v>
      </c>
      <c r="J107" s="12">
        <f t="shared" ca="1" si="61"/>
        <v>-131819.77274881303</v>
      </c>
      <c r="K107" s="12">
        <f t="shared" ca="1" si="61"/>
        <v>-136721.89726246265</v>
      </c>
      <c r="L107" s="12">
        <f t="shared" ca="1" si="61"/>
        <v>-195512.63742724573</v>
      </c>
      <c r="N107" s="5"/>
      <c r="O107" s="12"/>
    </row>
    <row r="108" spans="2:17" x14ac:dyDescent="0.3">
      <c r="C108" t="s">
        <v>56</v>
      </c>
      <c r="E108" s="12"/>
      <c r="F108" s="12"/>
      <c r="G108" s="12"/>
      <c r="H108" s="12">
        <f t="shared" ref="H108:L109" ca="1" si="62">-(H61-G61)</f>
        <v>-2158.6758478681804</v>
      </c>
      <c r="I108" s="12">
        <f t="shared" ca="1" si="62"/>
        <v>840.38958837487735</v>
      </c>
      <c r="J108" s="12">
        <f t="shared" ca="1" si="62"/>
        <v>-2451.5526737641485</v>
      </c>
      <c r="K108" s="12">
        <f t="shared" ca="1" si="62"/>
        <v>-6134.9194902954259</v>
      </c>
      <c r="L108" s="12">
        <f t="shared" ca="1" si="62"/>
        <v>-7701.5628188355404</v>
      </c>
      <c r="N108" s="5"/>
    </row>
    <row r="109" spans="2:17" x14ac:dyDescent="0.3">
      <c r="C109" t="s">
        <v>58</v>
      </c>
      <c r="E109" s="12"/>
      <c r="F109" s="12"/>
      <c r="G109" s="12"/>
      <c r="H109" s="12">
        <f t="shared" si="62"/>
        <v>0</v>
      </c>
      <c r="I109" s="12">
        <f t="shared" si="62"/>
        <v>0</v>
      </c>
      <c r="J109" s="12">
        <f t="shared" si="62"/>
        <v>0</v>
      </c>
      <c r="K109" s="12">
        <f t="shared" si="62"/>
        <v>0</v>
      </c>
      <c r="L109" s="12">
        <f t="shared" si="62"/>
        <v>0</v>
      </c>
      <c r="N109" s="5"/>
    </row>
    <row r="110" spans="2:17" x14ac:dyDescent="0.3">
      <c r="C110" t="s">
        <v>57</v>
      </c>
      <c r="E110" s="12"/>
      <c r="F110" s="12"/>
      <c r="G110" s="12"/>
      <c r="H110" s="12">
        <f ca="1">H72-G72</f>
        <v>-28218.045657538343</v>
      </c>
      <c r="I110" s="12">
        <f ca="1">I72-H72</f>
        <v>-5520.2748012815136</v>
      </c>
      <c r="J110" s="12">
        <f ca="1">J72-I72</f>
        <v>116382.76870655897</v>
      </c>
      <c r="K110" s="12">
        <f ca="1">K72-J72</f>
        <v>161046.50372182392</v>
      </c>
      <c r="L110" s="12">
        <f ca="1">L72-K72</f>
        <v>181054.61292532459</v>
      </c>
      <c r="N110" s="5"/>
    </row>
    <row r="111" spans="2:17" x14ac:dyDescent="0.3">
      <c r="C111" t="s">
        <v>59</v>
      </c>
      <c r="E111" s="12"/>
      <c r="F111" s="12"/>
      <c r="G111" s="12"/>
      <c r="H111" s="12">
        <f>H75-G75</f>
        <v>0</v>
      </c>
      <c r="I111" s="12">
        <f>I75-H75</f>
        <v>0</v>
      </c>
      <c r="J111" s="12">
        <f>J75-I75</f>
        <v>0</v>
      </c>
      <c r="K111" s="12">
        <f>K75-J75</f>
        <v>0</v>
      </c>
      <c r="L111" s="12">
        <f>L75-K75</f>
        <v>0</v>
      </c>
      <c r="N111" s="5"/>
    </row>
    <row r="112" spans="2:17" x14ac:dyDescent="0.3">
      <c r="C112" s="2" t="s">
        <v>60</v>
      </c>
      <c r="D112" s="2"/>
      <c r="F112" s="234">
        <v>420958</v>
      </c>
      <c r="G112" s="234">
        <v>562618</v>
      </c>
      <c r="H112" s="11">
        <f ca="1">SUM(H102:H111)</f>
        <v>412160.63684425817</v>
      </c>
      <c r="I112" s="11">
        <f ca="1">SUM(I102:I111)</f>
        <v>542119.78884593188</v>
      </c>
      <c r="J112" s="11">
        <f ca="1">SUM(J102:J111)</f>
        <v>406292.1159130116</v>
      </c>
      <c r="K112" s="11">
        <f ca="1">SUM(K102:K111)</f>
        <v>628091.04319026577</v>
      </c>
      <c r="L112" s="11">
        <f ca="1">SUM(L102:L111)</f>
        <v>617679.10882139206</v>
      </c>
      <c r="N112" s="149">
        <f ca="1">((L112/G112)^(1/($L$99-$G$99)))-1</f>
        <v>1.8849081004999269E-2</v>
      </c>
    </row>
    <row r="113" spans="3:14" x14ac:dyDescent="0.3">
      <c r="N113" s="5"/>
    </row>
    <row r="114" spans="3:14" x14ac:dyDescent="0.3">
      <c r="C114" t="s">
        <v>501</v>
      </c>
      <c r="F114" s="12"/>
      <c r="G114" s="12"/>
      <c r="H114" s="12">
        <f>(G67-H67)+H34+(G69-H69)</f>
        <v>135671</v>
      </c>
      <c r="I114" s="12">
        <f t="shared" ref="I114:L114" si="63">(H67-I67)+I34+(H69-I69)</f>
        <v>83000</v>
      </c>
      <c r="J114" s="12">
        <f t="shared" si="63"/>
        <v>83000</v>
      </c>
      <c r="K114" s="12">
        <f t="shared" si="63"/>
        <v>84000</v>
      </c>
      <c r="L114" s="12">
        <f t="shared" si="63"/>
        <v>0</v>
      </c>
      <c r="N114" s="5"/>
    </row>
    <row r="115" spans="3:14" x14ac:dyDescent="0.3">
      <c r="C115" t="s">
        <v>61</v>
      </c>
      <c r="E115" s="61"/>
      <c r="F115" s="61"/>
      <c r="G115" s="61"/>
      <c r="H115" s="61">
        <f>-H207</f>
        <v>-425543.60850773018</v>
      </c>
      <c r="I115" s="61">
        <f t="shared" ref="I115:L115" si="64">-I207</f>
        <v>-542829.00107462681</v>
      </c>
      <c r="J115" s="61">
        <f t="shared" si="64"/>
        <v>-601471.69735807506</v>
      </c>
      <c r="K115" s="61">
        <f t="shared" si="64"/>
        <v>-601471.69735807506</v>
      </c>
      <c r="L115" s="61">
        <f t="shared" si="64"/>
        <v>-601471.69735807506</v>
      </c>
      <c r="N115" s="149"/>
    </row>
    <row r="116" spans="3:14" x14ac:dyDescent="0.3">
      <c r="C116" t="s">
        <v>62</v>
      </c>
      <c r="E116" s="61"/>
      <c r="F116" s="61"/>
      <c r="G116" s="61"/>
      <c r="H116" s="61">
        <f>-H242</f>
        <v>-10456.391492269795</v>
      </c>
      <c r="I116" s="61">
        <f t="shared" ref="I116:L116" si="65">-I242</f>
        <v>-13170.998925373262</v>
      </c>
      <c r="J116" s="61">
        <f t="shared" si="65"/>
        <v>-14528.302641924995</v>
      </c>
      <c r="K116" s="61">
        <f t="shared" si="65"/>
        <v>-14528.302641924995</v>
      </c>
      <c r="L116" s="61">
        <f t="shared" si="65"/>
        <v>-14528.302641924995</v>
      </c>
      <c r="N116" s="149"/>
    </row>
    <row r="117" spans="3:14" x14ac:dyDescent="0.3">
      <c r="C117" s="2" t="s">
        <v>63</v>
      </c>
      <c r="D117" s="2"/>
      <c r="F117" s="234">
        <v>-501123</v>
      </c>
      <c r="G117" s="234">
        <v>-313051</v>
      </c>
      <c r="H117" s="11">
        <f>SUM(H114:H116)</f>
        <v>-300329</v>
      </c>
      <c r="I117" s="11">
        <f t="shared" ref="I117:L117" si="66">SUM(I114:I116)</f>
        <v>-473000.00000000006</v>
      </c>
      <c r="J117" s="11">
        <f t="shared" si="66"/>
        <v>-533000</v>
      </c>
      <c r="K117" s="11">
        <f t="shared" si="66"/>
        <v>-532000</v>
      </c>
      <c r="L117" s="11">
        <f t="shared" si="66"/>
        <v>-616000</v>
      </c>
      <c r="N117" s="149">
        <f>((L117/G117)^(1/($L$99-$G$99)))-1</f>
        <v>0.14496740504784444</v>
      </c>
    </row>
    <row r="118" spans="3:14" x14ac:dyDescent="0.3">
      <c r="N118" s="5"/>
    </row>
    <row r="119" spans="3:14" x14ac:dyDescent="0.3">
      <c r="C119" t="s">
        <v>64</v>
      </c>
      <c r="E119" s="12"/>
      <c r="F119" s="12"/>
      <c r="G119" s="12"/>
      <c r="H119" s="12">
        <f>H76-G76</f>
        <v>-151500</v>
      </c>
      <c r="I119" s="12">
        <f>I76-H76</f>
        <v>247695.30000000005</v>
      </c>
      <c r="J119" s="12">
        <f>J76-I76</f>
        <v>298695.29999999981</v>
      </c>
      <c r="K119" s="12">
        <f>K76-J76</f>
        <v>298695.29999999958</v>
      </c>
      <c r="L119" s="12">
        <f>L76-K76</f>
        <v>298695.29999999981</v>
      </c>
      <c r="N119" s="149"/>
    </row>
    <row r="120" spans="3:14" x14ac:dyDescent="0.3">
      <c r="C120" t="s">
        <v>65</v>
      </c>
      <c r="E120" s="12"/>
      <c r="F120" s="12"/>
      <c r="G120" s="12"/>
      <c r="H120" s="12">
        <f ca="1">H73-G73</f>
        <v>-76533.795372690016</v>
      </c>
      <c r="I120" s="12">
        <f ca="1">I73-H73</f>
        <v>-49841.204627309984</v>
      </c>
      <c r="J120" s="12">
        <f ca="1">J73-I73</f>
        <v>-30032.409491654369</v>
      </c>
      <c r="K120" s="12">
        <f ca="1">K73-J73</f>
        <v>7012.6195584859233</v>
      </c>
      <c r="L120" s="12">
        <f ca="1">L73-K73</f>
        <v>75378.522851766757</v>
      </c>
      <c r="N120" s="5"/>
    </row>
    <row r="121" spans="3:14" x14ac:dyDescent="0.3">
      <c r="C121" t="s">
        <v>186</v>
      </c>
      <c r="E121" s="12"/>
      <c r="F121" s="12"/>
      <c r="G121" s="12"/>
      <c r="H121" s="12">
        <f ca="1">-H28</f>
        <v>12209.586678877373</v>
      </c>
      <c r="I121" s="12">
        <f ca="1">-I28</f>
        <v>12501.083183603139</v>
      </c>
      <c r="J121" s="12">
        <f ca="1">-J28</f>
        <v>12717.199360389453</v>
      </c>
      <c r="K121" s="12">
        <f ca="1">-K28</f>
        <v>13104.133138453843</v>
      </c>
      <c r="L121" s="12">
        <f ca="1">-L28</f>
        <v>14566.154936280258</v>
      </c>
      <c r="N121" s="5"/>
    </row>
    <row r="122" spans="3:14" x14ac:dyDescent="0.3">
      <c r="C122" t="s">
        <v>176</v>
      </c>
      <c r="E122" s="12"/>
      <c r="F122" s="12"/>
      <c r="G122" s="12"/>
      <c r="H122" s="12">
        <f>H293</f>
        <v>-48734.696411001176</v>
      </c>
      <c r="I122" s="12">
        <f t="shared" ref="I122:L122" ca="1" si="67">I293</f>
        <v>-54197.394945855485</v>
      </c>
      <c r="J122" s="12">
        <f t="shared" ca="1" si="67"/>
        <v>-58387.36628413041</v>
      </c>
      <c r="K122" s="12">
        <f t="shared" ca="1" si="67"/>
        <v>-62683.847276546003</v>
      </c>
      <c r="L122" s="12">
        <f t="shared" ca="1" si="67"/>
        <v>-68394.278886925953</v>
      </c>
      <c r="N122" s="5"/>
    </row>
    <row r="123" spans="3:14" x14ac:dyDescent="0.3">
      <c r="C123" t="s">
        <v>447</v>
      </c>
      <c r="E123" s="12"/>
      <c r="F123" s="12"/>
      <c r="G123" s="12"/>
      <c r="H123" s="12">
        <f>H320+H326</f>
        <v>3998.6666666666665</v>
      </c>
      <c r="I123" s="12">
        <f t="shared" ref="I123:L123" si="68">I320+I326</f>
        <v>4498.666666666667</v>
      </c>
      <c r="J123" s="12">
        <f t="shared" si="68"/>
        <v>4498.666666666667</v>
      </c>
      <c r="K123" s="12">
        <f t="shared" si="68"/>
        <v>4998.666666666667</v>
      </c>
      <c r="L123" s="12">
        <f t="shared" si="68"/>
        <v>4998.666666666667</v>
      </c>
      <c r="N123" s="5"/>
    </row>
    <row r="124" spans="3:14" x14ac:dyDescent="0.3">
      <c r="C124" t="s">
        <v>448</v>
      </c>
      <c r="E124" s="12"/>
      <c r="F124" s="12"/>
      <c r="G124" s="12"/>
      <c r="H124" s="12">
        <f>H333</f>
        <v>328</v>
      </c>
      <c r="I124" s="12">
        <f t="shared" ref="I124:L124" si="69">I333</f>
        <v>328</v>
      </c>
      <c r="J124" s="12">
        <f t="shared" si="69"/>
        <v>328</v>
      </c>
      <c r="K124" s="12">
        <f t="shared" si="69"/>
        <v>328</v>
      </c>
      <c r="L124" s="12">
        <f t="shared" si="69"/>
        <v>328</v>
      </c>
      <c r="N124" s="5"/>
    </row>
    <row r="125" spans="3:14" x14ac:dyDescent="0.3">
      <c r="C125" t="s">
        <v>68</v>
      </c>
      <c r="E125" s="12"/>
      <c r="F125" s="12"/>
      <c r="G125" s="12"/>
      <c r="H125" s="12">
        <f ca="1">H310</f>
        <v>-278524.25381997088</v>
      </c>
      <c r="I125" s="12">
        <f t="shared" ref="I125:L125" ca="1" si="70">I310</f>
        <v>-184542.7475688413</v>
      </c>
      <c r="J125" s="12">
        <f t="shared" ca="1" si="70"/>
        <v>-214176.36754538649</v>
      </c>
      <c r="K125" s="12">
        <f t="shared" ca="1" si="70"/>
        <v>-275421.02043938887</v>
      </c>
      <c r="L125" s="12">
        <f t="shared" ca="1" si="70"/>
        <v>-335171.24611983658</v>
      </c>
      <c r="N125" s="5"/>
    </row>
    <row r="126" spans="3:14" x14ac:dyDescent="0.3">
      <c r="C126" t="s">
        <v>69</v>
      </c>
      <c r="E126" s="12"/>
      <c r="F126" s="12"/>
      <c r="G126" s="12"/>
      <c r="H126" s="12">
        <f ca="1">H334</f>
        <v>-11814.641524013756</v>
      </c>
      <c r="I126" s="12">
        <f ca="1">I334</f>
        <v>-11536.818054261301</v>
      </c>
      <c r="J126" s="12">
        <f ca="1">J334</f>
        <v>-13389.384391667714</v>
      </c>
      <c r="K126" s="12">
        <f ca="1">K334</f>
        <v>-17218.136410063435</v>
      </c>
      <c r="L126" s="12">
        <f ca="1">L334</f>
        <v>-20953.463273121175</v>
      </c>
      <c r="N126" s="5"/>
    </row>
    <row r="127" spans="3:14" x14ac:dyDescent="0.3">
      <c r="C127" t="s">
        <v>449</v>
      </c>
      <c r="E127" s="12"/>
      <c r="F127" s="12"/>
      <c r="G127" s="12"/>
      <c r="H127" s="12">
        <f>H80-G80</f>
        <v>0</v>
      </c>
      <c r="I127" s="12">
        <f t="shared" ref="I127:L127" si="71">I80-H80</f>
        <v>0</v>
      </c>
      <c r="J127" s="12">
        <f t="shared" si="71"/>
        <v>0</v>
      </c>
      <c r="K127" s="12">
        <f t="shared" si="71"/>
        <v>-41000</v>
      </c>
      <c r="L127" s="12">
        <f t="shared" si="71"/>
        <v>-41000</v>
      </c>
      <c r="N127" s="5"/>
    </row>
    <row r="128" spans="3:14" x14ac:dyDescent="0.3">
      <c r="C128" s="2" t="s">
        <v>66</v>
      </c>
      <c r="D128" s="2"/>
      <c r="F128" s="235">
        <v>24915</v>
      </c>
      <c r="G128" s="234">
        <v>-394616</v>
      </c>
      <c r="H128" s="11">
        <f t="shared" ref="H128:J128" ca="1" si="72">SUM(H119:H127)</f>
        <v>-550571.13378213171</v>
      </c>
      <c r="I128" s="11">
        <f t="shared" ca="1" si="72"/>
        <v>-35095.115345998231</v>
      </c>
      <c r="J128" s="11">
        <f t="shared" ca="1" si="72"/>
        <v>253.63831421693612</v>
      </c>
      <c r="K128" s="11">
        <f ca="1">SUM(K119:K127)</f>
        <v>-72184.28476239233</v>
      </c>
      <c r="L128" s="11">
        <f ca="1">SUM(L119:L127)</f>
        <v>-71552.343825170145</v>
      </c>
      <c r="N128" s="149">
        <f ca="1">((L128/G128)^(1/($L$99-$G$99)))-1</f>
        <v>-0.28929424061735631</v>
      </c>
    </row>
    <row r="129" spans="2:14" x14ac:dyDescent="0.3">
      <c r="N129" s="5"/>
    </row>
    <row r="130" spans="2:14" x14ac:dyDescent="0.3">
      <c r="C130" t="s">
        <v>67</v>
      </c>
      <c r="N130" s="5"/>
    </row>
    <row r="131" spans="2:14" x14ac:dyDescent="0.3">
      <c r="N131" s="5"/>
    </row>
    <row r="132" spans="2:14" x14ac:dyDescent="0.3">
      <c r="C132" s="2" t="s">
        <v>70</v>
      </c>
      <c r="D132" s="2"/>
      <c r="F132" s="234">
        <v>-69983</v>
      </c>
      <c r="G132" s="234">
        <v>-215222</v>
      </c>
      <c r="H132" s="11">
        <f ca="1">H112+H117+H128</f>
        <v>-438739.49693787354</v>
      </c>
      <c r="I132" s="11">
        <f ca="1">I112+I117+I128</f>
        <v>34024.673499933589</v>
      </c>
      <c r="J132" s="11">
        <f ca="1">J112+J117+J128</f>
        <v>-126454.24577277146</v>
      </c>
      <c r="K132" s="11">
        <f ca="1">K112+K117+K128</f>
        <v>23906.758427873443</v>
      </c>
      <c r="L132" s="11">
        <f ca="1">L112+L117+L128</f>
        <v>-69873.235003778085</v>
      </c>
      <c r="N132" s="149">
        <f ca="1">((L132/G132)^(1/($L$99-$G$99)))-1</f>
        <v>-0.2014817660589806</v>
      </c>
    </row>
    <row r="133" spans="2:14" x14ac:dyDescent="0.3">
      <c r="C133" s="2"/>
      <c r="D133" s="2"/>
      <c r="E133" s="12"/>
      <c r="F133" s="12"/>
      <c r="G133" s="12"/>
      <c r="H133" s="12"/>
      <c r="I133" s="12"/>
      <c r="J133" s="12"/>
      <c r="K133" s="12"/>
      <c r="L133" s="12"/>
      <c r="N133" s="5"/>
    </row>
    <row r="134" spans="2:14" x14ac:dyDescent="0.3">
      <c r="C134" s="2"/>
      <c r="D134" s="2"/>
      <c r="E134" s="12"/>
      <c r="F134" s="12"/>
      <c r="G134" s="12"/>
      <c r="H134" s="12"/>
      <c r="I134" s="12"/>
      <c r="J134" s="12"/>
      <c r="K134" s="12"/>
      <c r="L134" s="12"/>
      <c r="M134" s="12"/>
      <c r="N134" s="5"/>
    </row>
    <row r="135" spans="2:14" x14ac:dyDescent="0.3">
      <c r="C135" s="2"/>
      <c r="D135" s="2"/>
      <c r="H135" s="11"/>
      <c r="I135" s="11"/>
      <c r="J135" s="11"/>
      <c r="K135" s="11"/>
      <c r="L135" s="142" t="str">
        <f>UPPER("Active scenario: "&amp;'Scenario Analysis'!$D$3)</f>
        <v>ACTIVE SCENARIO: BASE CASE</v>
      </c>
      <c r="N135" s="5"/>
    </row>
    <row r="136" spans="2:14" x14ac:dyDescent="0.3">
      <c r="B136" t="s">
        <v>71</v>
      </c>
      <c r="C136" s="2" t="s">
        <v>80</v>
      </c>
      <c r="D136" s="2"/>
      <c r="N136" s="5"/>
    </row>
    <row r="137" spans="2:14" x14ac:dyDescent="0.3">
      <c r="C137" s="14" t="str">
        <f t="shared" ref="C137:L137" si="73">C12</f>
        <v>Fiscal year</v>
      </c>
      <c r="D137" s="6">
        <f t="shared" si="73"/>
        <v>2020</v>
      </c>
      <c r="E137" s="6">
        <f t="shared" si="73"/>
        <v>2021</v>
      </c>
      <c r="F137" s="6">
        <f t="shared" si="73"/>
        <v>2022</v>
      </c>
      <c r="G137" s="6">
        <f t="shared" si="73"/>
        <v>2023</v>
      </c>
      <c r="H137" s="7">
        <f t="shared" si="73"/>
        <v>2024</v>
      </c>
      <c r="I137" s="7">
        <f t="shared" si="73"/>
        <v>2025</v>
      </c>
      <c r="J137" s="7">
        <f t="shared" si="73"/>
        <v>2026</v>
      </c>
      <c r="K137" s="7">
        <f t="shared" si="73"/>
        <v>2027</v>
      </c>
      <c r="L137" s="7">
        <f t="shared" si="73"/>
        <v>2028</v>
      </c>
    </row>
    <row r="138" spans="2:14" x14ac:dyDescent="0.3">
      <c r="C138" s="5" t="str">
        <f t="shared" ref="C138:L138" si="74">C13</f>
        <v>Fiscal year end date</v>
      </c>
      <c r="D138" s="29">
        <f t="shared" si="74"/>
        <v>44196</v>
      </c>
      <c r="E138" s="29">
        <f t="shared" si="74"/>
        <v>44561</v>
      </c>
      <c r="F138" s="29">
        <f t="shared" si="74"/>
        <v>44926</v>
      </c>
      <c r="G138" s="29">
        <f t="shared" si="74"/>
        <v>45291</v>
      </c>
      <c r="H138" s="29">
        <f t="shared" si="74"/>
        <v>45657</v>
      </c>
      <c r="I138" s="29">
        <f t="shared" si="74"/>
        <v>46022</v>
      </c>
      <c r="J138" s="29">
        <f t="shared" si="74"/>
        <v>46387</v>
      </c>
      <c r="K138" s="29">
        <f t="shared" si="74"/>
        <v>46752</v>
      </c>
      <c r="L138" s="29">
        <f t="shared" si="74"/>
        <v>47118</v>
      </c>
    </row>
    <row r="139" spans="2:14" x14ac:dyDescent="0.3">
      <c r="C139" s="8" t="s">
        <v>81</v>
      </c>
      <c r="D139" s="30">
        <v>366</v>
      </c>
      <c r="E139" s="31">
        <f t="shared" ref="E139:L139" si="75">DATE(E137,12,31)-DATE(D137,12,31)</f>
        <v>365</v>
      </c>
      <c r="F139" s="31">
        <f t="shared" si="75"/>
        <v>365</v>
      </c>
      <c r="G139" s="31">
        <f t="shared" si="75"/>
        <v>365</v>
      </c>
      <c r="H139" s="31">
        <f t="shared" si="75"/>
        <v>366</v>
      </c>
      <c r="I139" s="31">
        <f t="shared" si="75"/>
        <v>365</v>
      </c>
      <c r="J139" s="31">
        <f t="shared" si="75"/>
        <v>365</v>
      </c>
      <c r="K139" s="31">
        <f t="shared" si="75"/>
        <v>365</v>
      </c>
      <c r="L139" s="31">
        <f t="shared" si="75"/>
        <v>366</v>
      </c>
    </row>
    <row r="141" spans="2:14" x14ac:dyDescent="0.3">
      <c r="C141" s="2" t="s">
        <v>72</v>
      </c>
      <c r="D141" s="34" t="s">
        <v>82</v>
      </c>
      <c r="E141" s="34"/>
      <c r="F141" s="33"/>
      <c r="G141" s="33"/>
      <c r="H141" s="34" t="s">
        <v>83</v>
      </c>
      <c r="I141" s="34"/>
      <c r="J141" s="33"/>
      <c r="K141" s="33"/>
      <c r="L141" s="33"/>
    </row>
    <row r="142" spans="2:14" x14ac:dyDescent="0.3">
      <c r="C142" s="28" t="s">
        <v>73</v>
      </c>
      <c r="D142" s="28"/>
      <c r="H142" s="12">
        <f>G144</f>
        <v>782851</v>
      </c>
      <c r="I142" s="12">
        <f t="shared" ref="I142:L142" ca="1" si="76">H144</f>
        <v>781181.41135168867</v>
      </c>
      <c r="J142" s="12">
        <f t="shared" ca="1" si="76"/>
        <v>760767.67011338123</v>
      </c>
      <c r="K142" s="12">
        <f t="shared" ca="1" si="76"/>
        <v>892587.44286219426</v>
      </c>
      <c r="L142" s="12">
        <f t="shared" ca="1" si="76"/>
        <v>1029309.3401246569</v>
      </c>
    </row>
    <row r="143" spans="2:14" x14ac:dyDescent="0.3">
      <c r="C143" s="28" t="s">
        <v>74</v>
      </c>
      <c r="D143" s="28"/>
      <c r="H143" s="12">
        <f ca="1">H144-H142</f>
        <v>-1669.5886483113281</v>
      </c>
      <c r="I143" s="12">
        <f t="shared" ref="I143:L143" ca="1" si="77">I144-I142</f>
        <v>-20413.741238307441</v>
      </c>
      <c r="J143" s="12">
        <f t="shared" ca="1" si="77"/>
        <v>131819.77274881303</v>
      </c>
      <c r="K143" s="12">
        <f t="shared" ca="1" si="77"/>
        <v>136721.89726246265</v>
      </c>
      <c r="L143" s="12">
        <f t="shared" ca="1" si="77"/>
        <v>195512.63742724573</v>
      </c>
      <c r="M143" s="12"/>
    </row>
    <row r="144" spans="2:14" x14ac:dyDescent="0.3">
      <c r="C144" s="46" t="s">
        <v>75</v>
      </c>
      <c r="D144" s="11">
        <f>D59</f>
        <v>471432</v>
      </c>
      <c r="E144" s="11">
        <f>E59</f>
        <v>624329</v>
      </c>
      <c r="F144" s="11">
        <f>F59</f>
        <v>772091</v>
      </c>
      <c r="G144" s="11">
        <f>G59</f>
        <v>782851</v>
      </c>
      <c r="H144" s="11">
        <f ca="1">IF($D$148=1,G144*(1+H150),2*H15*H151/H139-H142)</f>
        <v>781181.41135168867</v>
      </c>
      <c r="I144" s="11">
        <f ca="1">IF($D$148=1,H144*(1+I150),2*I15*I151/I139-I142)</f>
        <v>760767.67011338123</v>
      </c>
      <c r="J144" s="11">
        <f ca="1">IF($D$148=1,I144*(1+J150),2*J15*J151/J139-J142)</f>
        <v>892587.44286219426</v>
      </c>
      <c r="K144" s="11">
        <f ca="1">IF($D$148=1,J144*(1+K150),2*K15*K151/K139-K142)</f>
        <v>1029309.3401246569</v>
      </c>
      <c r="L144" s="11">
        <f ca="1">IF($D$148=1,K144*(1+L150),2*L15*L151/L139-L142)</f>
        <v>1224821.9775519026</v>
      </c>
    </row>
    <row r="146" spans="3:12" x14ac:dyDescent="0.3">
      <c r="C146" s="28" t="s">
        <v>76</v>
      </c>
      <c r="D146" s="28"/>
      <c r="E146" s="22">
        <f t="shared" ref="E146:L146" si="78">AVERAGE(D144:E144)/E15</f>
        <v>0.11937835198409569</v>
      </c>
      <c r="F146" s="22">
        <f t="shared" si="78"/>
        <v>9.7860773388978528E-2</v>
      </c>
      <c r="G146" s="22">
        <f t="shared" si="78"/>
        <v>0.117266017664918</v>
      </c>
      <c r="H146" s="22">
        <f t="shared" ca="1" si="78"/>
        <v>0.11202185792349728</v>
      </c>
      <c r="I146" s="22">
        <f t="shared" ca="1" si="78"/>
        <v>0.11232876712328767</v>
      </c>
      <c r="J146" s="22">
        <f t="shared" ca="1" si="78"/>
        <v>0.11232876712328767</v>
      </c>
      <c r="K146" s="22">
        <f t="shared" ca="1" si="78"/>
        <v>0.11232876712328767</v>
      </c>
      <c r="L146" s="22">
        <f t="shared" ca="1" si="78"/>
        <v>0.11202185792349727</v>
      </c>
    </row>
    <row r="148" spans="3:12" x14ac:dyDescent="0.3">
      <c r="C148" s="28" t="s">
        <v>77</v>
      </c>
      <c r="D148" s="1">
        <v>2</v>
      </c>
    </row>
    <row r="150" spans="3:12" x14ac:dyDescent="0.3">
      <c r="C150" s="28" t="s">
        <v>78</v>
      </c>
      <c r="D150" s="28"/>
      <c r="H150" s="100">
        <f ca="1">H41</f>
        <v>5.2933540056974149E-2</v>
      </c>
      <c r="I150" s="100">
        <f ca="1">I41</f>
        <v>-1.6813146152329761E-2</v>
      </c>
      <c r="J150" s="100">
        <f ca="1">J41</f>
        <v>7.2250136434242052E-2</v>
      </c>
      <c r="K150" s="100">
        <f ca="1">K41</f>
        <v>0.16242225756811313</v>
      </c>
      <c r="L150" s="100">
        <f ca="1">L41</f>
        <v>0.17608137956503001</v>
      </c>
    </row>
    <row r="151" spans="3:12" x14ac:dyDescent="0.3">
      <c r="C151" s="28" t="s">
        <v>79</v>
      </c>
      <c r="D151" s="28"/>
      <c r="E151" s="32">
        <f t="shared" ref="E151:F151" si="79">E146*E139</f>
        <v>43.573098474194929</v>
      </c>
      <c r="F151" s="32">
        <f t="shared" si="79"/>
        <v>35.719182286977166</v>
      </c>
      <c r="G151" s="32">
        <f>G146*G139</f>
        <v>42.802096447695071</v>
      </c>
      <c r="H151" s="35">
        <v>41</v>
      </c>
      <c r="I151" s="35">
        <v>41</v>
      </c>
      <c r="J151" s="35">
        <v>41</v>
      </c>
      <c r="K151" s="35">
        <v>41</v>
      </c>
      <c r="L151" s="35">
        <v>41</v>
      </c>
    </row>
    <row r="152" spans="3:12" x14ac:dyDescent="0.3">
      <c r="C152" s="38"/>
      <c r="D152" s="38"/>
      <c r="E152" s="39"/>
      <c r="F152" s="39"/>
      <c r="G152" s="39"/>
      <c r="H152" s="39"/>
      <c r="I152" s="39"/>
      <c r="J152" s="39"/>
      <c r="K152" s="39"/>
      <c r="L152" s="39"/>
    </row>
    <row r="153" spans="3:12" x14ac:dyDescent="0.3">
      <c r="C153" s="2" t="s">
        <v>84</v>
      </c>
      <c r="D153" s="34" t="s">
        <v>82</v>
      </c>
      <c r="E153" s="34"/>
      <c r="F153" s="33"/>
      <c r="G153" s="33"/>
      <c r="H153" s="34" t="s">
        <v>83</v>
      </c>
      <c r="I153" s="33"/>
      <c r="J153" s="33"/>
      <c r="K153" s="33"/>
      <c r="L153" s="33"/>
    </row>
    <row r="154" spans="3:12" x14ac:dyDescent="0.3">
      <c r="C154" s="28" t="s">
        <v>73</v>
      </c>
      <c r="D154" s="28"/>
      <c r="H154" s="12">
        <f>G156</f>
        <v>651853</v>
      </c>
      <c r="I154" s="12">
        <f t="shared" ref="I154:L154" ca="1" si="80">H156</f>
        <v>667107.60020680772</v>
      </c>
      <c r="J154" s="12">
        <f t="shared" ca="1" si="80"/>
        <v>619743.52564395452</v>
      </c>
      <c r="K154" s="12">
        <f t="shared" ca="1" si="80"/>
        <v>760776.14251103508</v>
      </c>
      <c r="L154" s="12">
        <f t="shared" ca="1" si="80"/>
        <v>854145.5729503429</v>
      </c>
    </row>
    <row r="155" spans="3:12" x14ac:dyDescent="0.3">
      <c r="C155" s="28" t="s">
        <v>74</v>
      </c>
      <c r="D155" s="28"/>
      <c r="H155" s="12">
        <f ca="1">H156-H154</f>
        <v>15254.600206807721</v>
      </c>
      <c r="I155" s="12">
        <f t="shared" ref="I155:L155" ca="1" si="81">I156-I154</f>
        <v>-47364.074562853202</v>
      </c>
      <c r="J155" s="12">
        <f t="shared" ca="1" si="81"/>
        <v>141032.61686708056</v>
      </c>
      <c r="K155" s="12">
        <f t="shared" ca="1" si="81"/>
        <v>93369.43043930782</v>
      </c>
      <c r="L155" s="12">
        <f t="shared" ca="1" si="81"/>
        <v>200890.68088725139</v>
      </c>
    </row>
    <row r="156" spans="3:12" x14ac:dyDescent="0.3">
      <c r="C156" s="46" t="s">
        <v>75</v>
      </c>
      <c r="D156" s="11">
        <f>D58</f>
        <v>333377</v>
      </c>
      <c r="E156" s="11">
        <f>E58</f>
        <v>543893</v>
      </c>
      <c r="F156" s="11">
        <f>F58</f>
        <v>616010</v>
      </c>
      <c r="G156" s="11">
        <f>G58</f>
        <v>651853</v>
      </c>
      <c r="H156" s="11">
        <f ca="1">IF(D158=1,H160*-H16,2*(-H16/H161)-H154)</f>
        <v>667107.60020680772</v>
      </c>
      <c r="I156" s="11">
        <f ca="1">IF(F158=1,I160*-I16,2*(-I16/I161)-I154)</f>
        <v>619743.52564395452</v>
      </c>
      <c r="J156" s="11">
        <f ca="1">IF(G158=1,J160*-J16,2*(-J16/J161)-J154)</f>
        <v>760776.14251103508</v>
      </c>
      <c r="K156" s="11">
        <f ca="1">IF(H158=1,K160*-K16,2*(-K16/K161)-K154)</f>
        <v>854145.5729503429</v>
      </c>
      <c r="L156" s="11">
        <f ca="1">IF(I158=1,L160*-L16,2*(-L16/L161)-L154)</f>
        <v>1055036.2538375943</v>
      </c>
    </row>
    <row r="158" spans="3:12" x14ac:dyDescent="0.3">
      <c r="C158" s="28" t="s">
        <v>85</v>
      </c>
      <c r="D158" s="1">
        <v>2</v>
      </c>
    </row>
    <row r="160" spans="3:12" x14ac:dyDescent="0.3">
      <c r="C160" s="28" t="s">
        <v>86</v>
      </c>
      <c r="D160" s="28"/>
      <c r="E160" s="22">
        <f>-(AVERAGE(D156:E156)/E16)</f>
        <v>0.13213310459401531</v>
      </c>
      <c r="F160" s="22">
        <f>-(AVERAGE(E156:F156)/F16)</f>
        <v>0.10191788597598052</v>
      </c>
      <c r="G160" s="22">
        <f>-(AVERAGE(F156:G156)/G16)</f>
        <v>0.12817238177094739</v>
      </c>
      <c r="H160" s="26">
        <f>G160</f>
        <v>0.12817238177094739</v>
      </c>
      <c r="I160" s="26">
        <f t="shared" ref="I160:L160" si="82">H160</f>
        <v>0.12817238177094739</v>
      </c>
      <c r="J160" s="26">
        <f t="shared" si="82"/>
        <v>0.12817238177094739</v>
      </c>
      <c r="K160" s="26">
        <f t="shared" si="82"/>
        <v>0.12817238177094739</v>
      </c>
      <c r="L160" s="26">
        <f t="shared" si="82"/>
        <v>0.12817238177094739</v>
      </c>
    </row>
    <row r="161" spans="3:12" x14ac:dyDescent="0.3">
      <c r="C161" s="28" t="s">
        <v>246</v>
      </c>
      <c r="D161" s="28"/>
      <c r="E161" s="36">
        <f>-E16/AVERAGE(D156:E156)</f>
        <v>7.5681261185267932</v>
      </c>
      <c r="F161" s="36">
        <f>-F16/AVERAGE(E156:F156)</f>
        <v>9.811820471194574</v>
      </c>
      <c r="G161" s="36">
        <f>-G16/AVERAGE(F156:G156)</f>
        <v>7.8019928020614211</v>
      </c>
      <c r="H161" s="37">
        <v>8</v>
      </c>
      <c r="I161" s="37">
        <v>8</v>
      </c>
      <c r="J161" s="37">
        <v>8</v>
      </c>
      <c r="K161" s="37">
        <v>8</v>
      </c>
      <c r="L161" s="37">
        <v>8</v>
      </c>
    </row>
    <row r="162" spans="3:12" x14ac:dyDescent="0.3">
      <c r="C162" s="38"/>
      <c r="D162" s="38"/>
      <c r="E162" s="39"/>
      <c r="F162" s="39"/>
      <c r="G162" s="39"/>
      <c r="H162" s="39"/>
      <c r="I162" s="39"/>
      <c r="J162" s="39"/>
      <c r="K162" s="39"/>
      <c r="L162" s="39"/>
    </row>
    <row r="163" spans="3:12" x14ac:dyDescent="0.3">
      <c r="C163" s="2" t="s">
        <v>87</v>
      </c>
      <c r="D163" s="34" t="s">
        <v>82</v>
      </c>
      <c r="E163" s="34"/>
      <c r="F163" s="33"/>
      <c r="G163" s="33"/>
      <c r="H163" s="34" t="s">
        <v>83</v>
      </c>
      <c r="I163" s="33"/>
      <c r="J163" s="33"/>
      <c r="K163" s="33"/>
      <c r="L163" s="33"/>
    </row>
    <row r="164" spans="3:12" x14ac:dyDescent="0.3">
      <c r="C164" s="28" t="s">
        <v>73</v>
      </c>
      <c r="D164" s="28"/>
      <c r="H164" s="12">
        <f>G166</f>
        <v>792512</v>
      </c>
      <c r="I164" s="12">
        <f t="shared" ref="I164:L164" ca="1" si="83">H166</f>
        <v>764293.95434246166</v>
      </c>
      <c r="J164" s="12">
        <f t="shared" ca="1" si="83"/>
        <v>758773.67954118014</v>
      </c>
      <c r="K164" s="12">
        <f t="shared" ca="1" si="83"/>
        <v>875156.44824773911</v>
      </c>
      <c r="L164" s="12">
        <f t="shared" ca="1" si="83"/>
        <v>1036202.951969563</v>
      </c>
    </row>
    <row r="165" spans="3:12" x14ac:dyDescent="0.3">
      <c r="C165" s="28" t="s">
        <v>74</v>
      </c>
      <c r="D165" s="28"/>
      <c r="H165" s="12">
        <f ca="1">H166-H164</f>
        <v>-28218.045657538343</v>
      </c>
      <c r="I165" s="12">
        <f t="shared" ref="I165:L165" ca="1" si="84">I166-I164</f>
        <v>-5520.2748012815136</v>
      </c>
      <c r="J165" s="12">
        <f t="shared" ca="1" si="84"/>
        <v>116382.76870655897</v>
      </c>
      <c r="K165" s="12">
        <f t="shared" ca="1" si="84"/>
        <v>161046.50372182392</v>
      </c>
      <c r="L165" s="12">
        <f t="shared" ca="1" si="84"/>
        <v>181054.61292532459</v>
      </c>
    </row>
    <row r="166" spans="3:12" x14ac:dyDescent="0.3">
      <c r="C166" s="46" t="s">
        <v>75</v>
      </c>
      <c r="D166" s="11">
        <f>D72</f>
        <v>459618</v>
      </c>
      <c r="E166" s="11">
        <f>E72</f>
        <v>601605</v>
      </c>
      <c r="F166" s="11">
        <f>F72</f>
        <v>781742</v>
      </c>
      <c r="G166" s="11">
        <f>G72</f>
        <v>792512</v>
      </c>
      <c r="H166" s="11">
        <f ca="1">IF(D170=1,H164*(1+H172),2*-H16*H173/H139-H164)</f>
        <v>764293.95434246166</v>
      </c>
      <c r="I166" s="11">
        <f ca="1">IF(F170=1,I164*(1+I172),2*-I16*I173/I139-I164)</f>
        <v>758773.67954118014</v>
      </c>
      <c r="J166" s="11">
        <f ca="1">IF(G170=1,J164*(1+J172),2*-J16*J173/J139-J164)</f>
        <v>875156.44824773911</v>
      </c>
      <c r="K166" s="11">
        <f ca="1">IF(H170=1,K164*(1+K172),2*-K16*K173/K139-K164)</f>
        <v>1036202.951969563</v>
      </c>
      <c r="L166" s="11">
        <f ca="1">IF(I170=1,L164*(1+L172),2*-L16*L173/L139-L164)</f>
        <v>1217257.5648948876</v>
      </c>
    </row>
    <row r="168" spans="3:12" x14ac:dyDescent="0.3">
      <c r="C168" s="28" t="s">
        <v>89</v>
      </c>
      <c r="D168" s="28"/>
      <c r="E168" s="22">
        <f t="shared" ref="E168:L168" si="85">-AVERAGE(D166:E166)/E16</f>
        <v>0.15983983227122178</v>
      </c>
      <c r="F168" s="22">
        <f t="shared" si="85"/>
        <v>0.12155137266755471</v>
      </c>
      <c r="G168" s="22">
        <f t="shared" si="85"/>
        <v>0.15914644144709719</v>
      </c>
      <c r="H168" s="22">
        <f t="shared" ca="1" si="85"/>
        <v>0.14754098360655737</v>
      </c>
      <c r="I168" s="22">
        <f t="shared" ca="1" si="85"/>
        <v>0.14794520547945206</v>
      </c>
      <c r="J168" s="22">
        <f t="shared" ca="1" si="85"/>
        <v>0.14794520547945206</v>
      </c>
      <c r="K168" s="22">
        <f t="shared" ca="1" si="85"/>
        <v>0.14794520547945206</v>
      </c>
      <c r="L168" s="22">
        <f t="shared" ca="1" si="85"/>
        <v>0.1475409836065574</v>
      </c>
    </row>
    <row r="170" spans="3:12" x14ac:dyDescent="0.3">
      <c r="C170" s="28" t="s">
        <v>91</v>
      </c>
      <c r="D170" s="1">
        <v>2</v>
      </c>
    </row>
    <row r="172" spans="3:12" x14ac:dyDescent="0.3">
      <c r="C172" s="28" t="s">
        <v>90</v>
      </c>
      <c r="D172" s="28"/>
      <c r="F172" s="22"/>
      <c r="G172" s="22"/>
      <c r="H172" s="22">
        <f ca="1">H16/G16-1</f>
        <v>6.6704030896365563E-2</v>
      </c>
      <c r="I172" s="22">
        <f ca="1">I16/H16-1</f>
        <v>-2.4344528828996737E-2</v>
      </c>
      <c r="J172" s="22">
        <f ca="1">J16/I16-1</f>
        <v>7.2788950036704048E-2</v>
      </c>
      <c r="K172" s="22">
        <f ca="1">K16/J16-1</f>
        <v>0.16979261702200699</v>
      </c>
      <c r="L172" s="22">
        <f ca="1">L16/K16-1</f>
        <v>0.18221323579297466</v>
      </c>
    </row>
    <row r="173" spans="3:12" x14ac:dyDescent="0.3">
      <c r="C173" s="28" t="s">
        <v>88</v>
      </c>
      <c r="D173" s="28"/>
      <c r="E173" s="32">
        <f>E168*E139</f>
        <v>58.341538778995954</v>
      </c>
      <c r="F173" s="32">
        <f>F168*F139</f>
        <v>44.366251023657469</v>
      </c>
      <c r="G173" s="32">
        <f>G168*G139</f>
        <v>58.088451128190478</v>
      </c>
      <c r="H173" s="35">
        <v>54</v>
      </c>
      <c r="I173" s="35">
        <v>54</v>
      </c>
      <c r="J173" s="35">
        <v>54</v>
      </c>
      <c r="K173" s="35">
        <v>54</v>
      </c>
      <c r="L173" s="35">
        <v>54</v>
      </c>
    </row>
    <row r="174" spans="3:12" x14ac:dyDescent="0.3">
      <c r="C174" s="38"/>
      <c r="D174" s="38"/>
      <c r="E174" s="38"/>
      <c r="F174" s="38"/>
      <c r="G174" s="38"/>
      <c r="H174" s="38"/>
      <c r="I174" s="38"/>
      <c r="J174" s="38"/>
      <c r="K174" s="38"/>
      <c r="L174" s="38"/>
    </row>
    <row r="175" spans="3:12" x14ac:dyDescent="0.3">
      <c r="C175" s="2" t="s">
        <v>92</v>
      </c>
      <c r="D175" s="34" t="s">
        <v>82</v>
      </c>
      <c r="E175" s="34"/>
      <c r="F175" s="33"/>
      <c r="G175" s="33"/>
      <c r="H175" s="34" t="s">
        <v>83</v>
      </c>
      <c r="I175" s="33"/>
      <c r="J175" s="33"/>
      <c r="K175" s="33"/>
      <c r="L175" s="33"/>
    </row>
    <row r="176" spans="3:12" x14ac:dyDescent="0.3">
      <c r="C176" t="s">
        <v>93</v>
      </c>
      <c r="E176" s="32">
        <f>E151</f>
        <v>43.573098474194929</v>
      </c>
      <c r="F176" s="32">
        <f>F151</f>
        <v>35.719182286977166</v>
      </c>
      <c r="G176" s="32">
        <f>G151</f>
        <v>42.802096447695071</v>
      </c>
      <c r="H176" s="32">
        <f t="shared" ref="H176:L176" si="86">H151</f>
        <v>41</v>
      </c>
      <c r="I176" s="32">
        <f t="shared" si="86"/>
        <v>41</v>
      </c>
      <c r="J176" s="32">
        <f t="shared" si="86"/>
        <v>41</v>
      </c>
      <c r="K176" s="32">
        <f t="shared" si="86"/>
        <v>41</v>
      </c>
      <c r="L176" s="32">
        <f t="shared" si="86"/>
        <v>41</v>
      </c>
    </row>
    <row r="177" spans="3:12" x14ac:dyDescent="0.3">
      <c r="C177" t="s">
        <v>94</v>
      </c>
      <c r="E177" s="32">
        <f t="shared" ref="E177:L177" si="87">(-AVERAGE(D156:E156)/E16)*E139</f>
        <v>48.22858317681559</v>
      </c>
      <c r="F177" s="32">
        <f t="shared" si="87"/>
        <v>37.20002838123289</v>
      </c>
      <c r="G177" s="32">
        <f t="shared" si="87"/>
        <v>46.782919346395801</v>
      </c>
      <c r="H177" s="32">
        <f t="shared" ca="1" si="87"/>
        <v>45.75</v>
      </c>
      <c r="I177" s="32">
        <f t="shared" ca="1" si="87"/>
        <v>45.625</v>
      </c>
      <c r="J177" s="32">
        <f t="shared" ca="1" si="87"/>
        <v>45.625</v>
      </c>
      <c r="K177" s="32">
        <f t="shared" ca="1" si="87"/>
        <v>45.625</v>
      </c>
      <c r="L177" s="32">
        <f t="shared" ca="1" si="87"/>
        <v>45.75</v>
      </c>
    </row>
    <row r="178" spans="3:12" x14ac:dyDescent="0.3">
      <c r="C178" s="2" t="s">
        <v>95</v>
      </c>
      <c r="D178" s="2"/>
      <c r="E178" s="40">
        <f>SUM(E176:E177)</f>
        <v>91.801681651010512</v>
      </c>
      <c r="F178" s="40">
        <f>SUM(F176:F177)</f>
        <v>72.919210668210056</v>
      </c>
      <c r="G178" s="40">
        <f t="shared" ref="G178:L178" si="88">SUM(G176:G177)</f>
        <v>89.585015794090879</v>
      </c>
      <c r="H178" s="40">
        <f t="shared" ca="1" si="88"/>
        <v>86.75</v>
      </c>
      <c r="I178" s="40">
        <f t="shared" ca="1" si="88"/>
        <v>86.625</v>
      </c>
      <c r="J178" s="40">
        <f t="shared" ca="1" si="88"/>
        <v>86.625</v>
      </c>
      <c r="K178" s="40">
        <f t="shared" ca="1" si="88"/>
        <v>86.625</v>
      </c>
      <c r="L178" s="40">
        <f t="shared" ca="1" si="88"/>
        <v>86.75</v>
      </c>
    </row>
    <row r="180" spans="3:12" x14ac:dyDescent="0.3">
      <c r="C180" t="s">
        <v>96</v>
      </c>
      <c r="E180" s="32">
        <f>E173</f>
        <v>58.341538778995954</v>
      </c>
      <c r="F180" s="32">
        <f>F173</f>
        <v>44.366251023657469</v>
      </c>
      <c r="G180" s="32">
        <f t="shared" ref="G180:L180" si="89">G173</f>
        <v>58.088451128190478</v>
      </c>
      <c r="H180" s="32">
        <f t="shared" si="89"/>
        <v>54</v>
      </c>
      <c r="I180" s="32">
        <f t="shared" si="89"/>
        <v>54</v>
      </c>
      <c r="J180" s="32">
        <f t="shared" si="89"/>
        <v>54</v>
      </c>
      <c r="K180" s="32">
        <f t="shared" si="89"/>
        <v>54</v>
      </c>
      <c r="L180" s="32">
        <f t="shared" si="89"/>
        <v>54</v>
      </c>
    </row>
    <row r="181" spans="3:12" x14ac:dyDescent="0.3">
      <c r="C181" s="2" t="s">
        <v>97</v>
      </c>
      <c r="D181" s="2"/>
      <c r="E181" s="40">
        <f>E178-E180</f>
        <v>33.460142872014558</v>
      </c>
      <c r="F181" s="40">
        <f>F178-F180</f>
        <v>28.552959644552587</v>
      </c>
      <c r="G181" s="40">
        <f t="shared" ref="G181:L181" si="90">G178-G180</f>
        <v>31.496564665900401</v>
      </c>
      <c r="H181" s="40">
        <f t="shared" ca="1" si="90"/>
        <v>32.75</v>
      </c>
      <c r="I181" s="40">
        <f t="shared" ca="1" si="90"/>
        <v>32.625</v>
      </c>
      <c r="J181" s="40">
        <f t="shared" ca="1" si="90"/>
        <v>32.625</v>
      </c>
      <c r="K181" s="40">
        <f t="shared" ca="1" si="90"/>
        <v>32.625</v>
      </c>
      <c r="L181" s="40">
        <f t="shared" ca="1" si="90"/>
        <v>32.75</v>
      </c>
    </row>
    <row r="183" spans="3:12" x14ac:dyDescent="0.3">
      <c r="C183" t="s">
        <v>98</v>
      </c>
      <c r="D183" s="41">
        <f>D193/D194</f>
        <v>2.1832526953235964</v>
      </c>
      <c r="E183" s="41">
        <f>E193/E194</f>
        <v>1.7973247563829686</v>
      </c>
      <c r="F183" s="41">
        <f t="shared" ref="F183:L183" si="91">F193/F194</f>
        <v>1.3716680024544339</v>
      </c>
      <c r="G183" s="41">
        <f t="shared" si="91"/>
        <v>1.2689314133271445</v>
      </c>
      <c r="H183" s="41">
        <f t="shared" ca="1" si="91"/>
        <v>1.0817666102519252</v>
      </c>
      <c r="I183" s="41">
        <f t="shared" ca="1" si="91"/>
        <v>1.0986921812585033</v>
      </c>
      <c r="J183" s="41">
        <f t="shared" ca="1" si="91"/>
        <v>1.1328373726156651</v>
      </c>
      <c r="K183" s="41">
        <f t="shared" ca="1" si="91"/>
        <v>1.1727198018221747</v>
      </c>
      <c r="L183" s="41">
        <f t="shared" ca="1" si="91"/>
        <v>1.1894291760089069</v>
      </c>
    </row>
    <row r="184" spans="3:12" x14ac:dyDescent="0.3">
      <c r="C184" t="s">
        <v>99</v>
      </c>
      <c r="D184" s="41">
        <f t="shared" ref="D184:L184" si="92">(D57+D59-D188-D187)/D194</f>
        <v>1.7499751998665303</v>
      </c>
      <c r="E184" s="41">
        <f t="shared" si="92"/>
        <v>1.294063178059867</v>
      </c>
      <c r="F184" s="41">
        <f t="shared" si="92"/>
        <v>0.96183489663198496</v>
      </c>
      <c r="G184" s="41">
        <f t="shared" si="92"/>
        <v>0.84068263931951226</v>
      </c>
      <c r="H184" s="41">
        <f t="shared" ca="1" si="92"/>
        <v>0.61333712101342552</v>
      </c>
      <c r="I184" s="41">
        <f t="shared" ca="1" si="92"/>
        <v>0.64516536247043055</v>
      </c>
      <c r="J184" s="41">
        <f t="shared" ca="1" si="92"/>
        <v>0.61331803524237694</v>
      </c>
      <c r="K184" s="41">
        <f t="shared" ca="1" si="92"/>
        <v>0.64622775833442847</v>
      </c>
      <c r="L184" s="41">
        <f t="shared" ca="1" si="92"/>
        <v>0.62624338580424799</v>
      </c>
    </row>
    <row r="186" spans="3:12" x14ac:dyDescent="0.3">
      <c r="C186" s="20" t="s">
        <v>100</v>
      </c>
      <c r="D186" s="20"/>
    </row>
    <row r="187" spans="3:12" x14ac:dyDescent="0.3">
      <c r="C187" t="s">
        <v>101</v>
      </c>
      <c r="D187" s="10">
        <v>72408</v>
      </c>
      <c r="E187" s="10">
        <v>132482</v>
      </c>
      <c r="F187" s="10">
        <v>204636</v>
      </c>
      <c r="G187" s="10">
        <v>168793</v>
      </c>
      <c r="H187" s="10">
        <v>168793</v>
      </c>
      <c r="I187" s="10">
        <v>168793</v>
      </c>
      <c r="J187" s="10">
        <v>168793</v>
      </c>
      <c r="K187" s="10">
        <v>168793</v>
      </c>
      <c r="L187" s="10">
        <v>168793</v>
      </c>
    </row>
    <row r="188" spans="3:12" x14ac:dyDescent="0.3">
      <c r="C188" t="s">
        <v>104</v>
      </c>
      <c r="D188" s="10">
        <v>3582</v>
      </c>
      <c r="E188" s="10">
        <f>1833+18</f>
        <v>1851</v>
      </c>
      <c r="F188" s="10">
        <f>1421+249</f>
        <v>1670</v>
      </c>
      <c r="G188" s="10">
        <f>1366+75</f>
        <v>1441</v>
      </c>
      <c r="H188" s="10">
        <f>G188</f>
        <v>1441</v>
      </c>
      <c r="I188" s="10">
        <f t="shared" ref="I188:L188" si="93">H188</f>
        <v>1441</v>
      </c>
      <c r="J188" s="10">
        <f t="shared" si="93"/>
        <v>1441</v>
      </c>
      <c r="K188" s="10">
        <f t="shared" si="93"/>
        <v>1441</v>
      </c>
      <c r="L188" s="10">
        <f t="shared" si="93"/>
        <v>1441</v>
      </c>
    </row>
    <row r="189" spans="3:12" x14ac:dyDescent="0.3">
      <c r="C189" t="s">
        <v>117</v>
      </c>
      <c r="D189" s="10">
        <v>7180</v>
      </c>
      <c r="E189" s="10">
        <v>8557</v>
      </c>
      <c r="F189" s="10">
        <v>7872</v>
      </c>
      <c r="G189" s="10">
        <v>10028</v>
      </c>
      <c r="H189" s="10">
        <v>10028</v>
      </c>
      <c r="I189" s="10">
        <v>10028</v>
      </c>
      <c r="J189" s="10">
        <v>10028</v>
      </c>
      <c r="K189" s="10">
        <v>10028</v>
      </c>
      <c r="L189" s="10">
        <v>10028</v>
      </c>
    </row>
    <row r="190" spans="3:12" x14ac:dyDescent="0.3">
      <c r="C190" t="s">
        <v>120</v>
      </c>
      <c r="D190" s="10">
        <v>894015</v>
      </c>
      <c r="E190" s="10">
        <v>805667</v>
      </c>
      <c r="F190" s="10">
        <v>1299607</v>
      </c>
      <c r="G190" s="10">
        <v>1166074</v>
      </c>
      <c r="H190" s="12">
        <f t="shared" ref="H190:L191" si="94">G190+(H76-G76)</f>
        <v>1014574</v>
      </c>
      <c r="I190" s="12">
        <f t="shared" si="94"/>
        <v>1262269.3</v>
      </c>
      <c r="J190" s="12">
        <f t="shared" si="94"/>
        <v>1560964.5999999999</v>
      </c>
      <c r="K190" s="12">
        <f t="shared" si="94"/>
        <v>1859659.8999999994</v>
      </c>
      <c r="L190" s="12">
        <f t="shared" si="94"/>
        <v>2158355.1999999993</v>
      </c>
    </row>
    <row r="191" spans="3:12" x14ac:dyDescent="0.3">
      <c r="C191" t="s">
        <v>105</v>
      </c>
      <c r="D191" s="10">
        <v>141122</v>
      </c>
      <c r="E191" s="10">
        <v>138175</v>
      </c>
      <c r="F191" s="10">
        <v>196914</v>
      </c>
      <c r="G191" s="10">
        <v>200688</v>
      </c>
      <c r="H191" s="12">
        <f t="shared" ca="1" si="94"/>
        <v>227450.51362654072</v>
      </c>
      <c r="I191" s="12">
        <f t="shared" ca="1" si="94"/>
        <v>247977.76116179</v>
      </c>
      <c r="J191" s="12">
        <f t="shared" ca="1" si="94"/>
        <v>269026.81418421934</v>
      </c>
      <c r="K191" s="12">
        <f t="shared" ca="1" si="94"/>
        <v>297003.00631913793</v>
      </c>
      <c r="L191" s="12">
        <f t="shared" ca="1" si="94"/>
        <v>334386.93961147091</v>
      </c>
    </row>
    <row r="192" spans="3:12" x14ac:dyDescent="0.3">
      <c r="C192" t="s">
        <v>106</v>
      </c>
      <c r="D192" s="10">
        <v>51103</v>
      </c>
      <c r="E192" s="10">
        <v>63071</v>
      </c>
      <c r="F192" s="10">
        <v>92480</v>
      </c>
      <c r="G192" s="10">
        <v>83659</v>
      </c>
      <c r="H192" s="10">
        <f>G192</f>
        <v>83659</v>
      </c>
      <c r="I192" s="10">
        <f t="shared" ref="I192:L192" si="95">H192</f>
        <v>83659</v>
      </c>
      <c r="J192" s="10">
        <f t="shared" si="95"/>
        <v>83659</v>
      </c>
      <c r="K192" s="10">
        <f t="shared" si="95"/>
        <v>83659</v>
      </c>
      <c r="L192" s="10">
        <f t="shared" si="95"/>
        <v>83659</v>
      </c>
    </row>
    <row r="193" spans="2:19" x14ac:dyDescent="0.3">
      <c r="C193" t="s">
        <v>102</v>
      </c>
      <c r="D193" s="12">
        <f t="shared" ref="D193:L193" si="96">SUM(D57:D62)-D188-D189-D187</f>
        <v>1936746</v>
      </c>
      <c r="E193" s="12">
        <f t="shared" si="96"/>
        <v>2086588</v>
      </c>
      <c r="F193" s="12">
        <f t="shared" si="96"/>
        <v>2248825</v>
      </c>
      <c r="G193" s="12">
        <f t="shared" si="96"/>
        <v>2099546</v>
      </c>
      <c r="H193" s="12">
        <f t="shared" ca="1" si="96"/>
        <v>1676550.1904684911</v>
      </c>
      <c r="I193" s="12">
        <f t="shared" ca="1" si="96"/>
        <v>1641956.658578889</v>
      </c>
      <c r="J193" s="12">
        <f t="shared" ca="1" si="96"/>
        <v>1790806.3550957774</v>
      </c>
      <c r="K193" s="12">
        <f t="shared" ca="1" si="96"/>
        <v>2050939.360715678</v>
      </c>
      <c r="L193" s="12">
        <f t="shared" ca="1" si="96"/>
        <v>2385171.0068343785</v>
      </c>
    </row>
    <row r="194" spans="2:19" x14ac:dyDescent="0.3">
      <c r="C194" t="s">
        <v>103</v>
      </c>
      <c r="D194" s="12">
        <f t="shared" ref="D194:L194" si="97">SUM(D72:D77)-D190-D191-D192</f>
        <v>887092</v>
      </c>
      <c r="E194" s="12">
        <f t="shared" si="97"/>
        <v>1160941</v>
      </c>
      <c r="F194" s="12">
        <f t="shared" si="97"/>
        <v>1639482</v>
      </c>
      <c r="G194" s="12">
        <f t="shared" si="97"/>
        <v>1654578</v>
      </c>
      <c r="H194" s="12">
        <f t="shared" ca="1" si="97"/>
        <v>1549826.1589697713</v>
      </c>
      <c r="I194" s="12">
        <f t="shared" ca="1" si="97"/>
        <v>1494464.6795411799</v>
      </c>
      <c r="J194" s="12">
        <f t="shared" ca="1" si="97"/>
        <v>1580815.0387560846</v>
      </c>
      <c r="K194" s="12">
        <f t="shared" ca="1" si="97"/>
        <v>1748874.1620363945</v>
      </c>
      <c r="L194" s="12">
        <f t="shared" ca="1" si="97"/>
        <v>2005307.2978134868</v>
      </c>
    </row>
    <row r="195" spans="2:19" x14ac:dyDescent="0.3">
      <c r="E195" s="12"/>
      <c r="F195" s="12"/>
      <c r="G195" s="12"/>
      <c r="H195" s="12"/>
      <c r="I195" s="12"/>
      <c r="J195" s="12"/>
      <c r="K195" s="12"/>
      <c r="L195" s="12"/>
    </row>
    <row r="196" spans="2:19" x14ac:dyDescent="0.3">
      <c r="L196" s="142" t="str">
        <f>UPPER("Active scenario: "&amp;'Scenario Analysis'!$D$3)</f>
        <v>ACTIVE SCENARIO: BASE CASE</v>
      </c>
    </row>
    <row r="197" spans="2:19" x14ac:dyDescent="0.3">
      <c r="B197" t="s">
        <v>7</v>
      </c>
      <c r="C197" s="44" t="s">
        <v>122</v>
      </c>
      <c r="D197" s="44"/>
      <c r="E197" s="45"/>
      <c r="F197" s="45"/>
      <c r="G197" s="45"/>
      <c r="H197" s="45"/>
      <c r="I197" s="45"/>
      <c r="J197" s="45"/>
      <c r="K197" s="45"/>
      <c r="L197" s="45"/>
    </row>
    <row r="198" spans="2:19" x14ac:dyDescent="0.3">
      <c r="C198" t="str">
        <f t="shared" ref="C198:L198" si="98">C12</f>
        <v>Fiscal year</v>
      </c>
      <c r="D198" s="6">
        <f t="shared" si="98"/>
        <v>2020</v>
      </c>
      <c r="E198" s="6">
        <f t="shared" si="98"/>
        <v>2021</v>
      </c>
      <c r="F198" s="6">
        <f t="shared" si="98"/>
        <v>2022</v>
      </c>
      <c r="G198" s="6">
        <f t="shared" si="98"/>
        <v>2023</v>
      </c>
      <c r="H198" s="7">
        <f t="shared" si="98"/>
        <v>2024</v>
      </c>
      <c r="I198" s="7">
        <f t="shared" si="98"/>
        <v>2025</v>
      </c>
      <c r="J198" s="7">
        <f t="shared" si="98"/>
        <v>2026</v>
      </c>
      <c r="K198" s="7">
        <f t="shared" si="98"/>
        <v>2027</v>
      </c>
      <c r="L198" s="7">
        <f t="shared" si="98"/>
        <v>2028</v>
      </c>
    </row>
    <row r="199" spans="2:19" x14ac:dyDescent="0.3">
      <c r="C199" s="8" t="str">
        <f t="shared" ref="C199:L199" si="99">C13</f>
        <v>Fiscal year end date</v>
      </c>
      <c r="D199" s="9">
        <f t="shared" si="99"/>
        <v>44196</v>
      </c>
      <c r="E199" s="9">
        <f t="shared" si="99"/>
        <v>44561</v>
      </c>
      <c r="F199" s="9">
        <f t="shared" si="99"/>
        <v>44926</v>
      </c>
      <c r="G199" s="9">
        <f t="shared" si="99"/>
        <v>45291</v>
      </c>
      <c r="H199" s="9">
        <f t="shared" si="99"/>
        <v>45657</v>
      </c>
      <c r="I199" s="9">
        <f t="shared" si="99"/>
        <v>46022</v>
      </c>
      <c r="J199" s="9">
        <f t="shared" si="99"/>
        <v>46387</v>
      </c>
      <c r="K199" s="9">
        <f t="shared" si="99"/>
        <v>46752</v>
      </c>
      <c r="L199" s="9">
        <f t="shared" si="99"/>
        <v>47118</v>
      </c>
    </row>
    <row r="200" spans="2:19" x14ac:dyDescent="0.3">
      <c r="D200" s="34" t="s">
        <v>82</v>
      </c>
      <c r="E200" s="34"/>
      <c r="F200" s="33"/>
      <c r="G200" s="33"/>
      <c r="H200" s="34" t="s">
        <v>83</v>
      </c>
      <c r="I200" s="33"/>
      <c r="J200" s="33"/>
      <c r="K200" s="33"/>
      <c r="L200" s="33"/>
    </row>
    <row r="201" spans="2:19" x14ac:dyDescent="0.3">
      <c r="C201" s="28" t="s">
        <v>73</v>
      </c>
      <c r="D201" s="50">
        <v>2633236</v>
      </c>
      <c r="E201" s="12"/>
      <c r="F201" s="12"/>
      <c r="G201" s="12"/>
      <c r="H201" s="12">
        <f>G205</f>
        <v>1746515</v>
      </c>
      <c r="I201" s="12">
        <f t="shared" ref="I201:L201" si="100">H205</f>
        <v>2076455.9548908058</v>
      </c>
      <c r="J201" s="12">
        <f t="shared" si="100"/>
        <v>2502258.9309179853</v>
      </c>
      <c r="K201" s="12">
        <f t="shared" si="100"/>
        <v>2957969.5334290043</v>
      </c>
      <c r="L201" s="12">
        <f t="shared" si="100"/>
        <v>3381735.8713556579</v>
      </c>
    </row>
    <row r="202" spans="2:19" x14ac:dyDescent="0.3">
      <c r="C202" s="28" t="s">
        <v>236</v>
      </c>
      <c r="D202" s="119">
        <f>_xlfn.XLOOKUP(D198,'Rubis Energies Division'!3:3,'Rubis Energies Division'!15:15)</f>
        <v>214611.65475078387</v>
      </c>
      <c r="E202" s="119">
        <f>_xlfn.XLOOKUP(E198,'Rubis Energies Division'!3:3,'Rubis Energies Division'!15:15)</f>
        <v>200528.75731260111</v>
      </c>
      <c r="F202" s="119">
        <f>_xlfn.XLOOKUP(F198,'Rubis Energies Division'!3:3,'Rubis Energies Division'!15:15)</f>
        <v>208104.29037203378</v>
      </c>
      <c r="G202" s="119">
        <f>_xlfn.XLOOKUP(G198,'Rubis Energies Division'!3:3,'Rubis Energies Division'!15:15)</f>
        <v>201339.92390650572</v>
      </c>
      <c r="H202" s="119">
        <f>_xlfn.XLOOKUP(H198,'Rubis Energies Division'!3:3,'Rubis Energies Division'!15:15)</f>
        <v>200746.60608784517</v>
      </c>
      <c r="I202" s="119">
        <f>_xlfn.XLOOKUP(I198,'Rubis Energies Division'!3:3,'Rubis Energies Division'!15:15)</f>
        <v>200746.60608784517</v>
      </c>
      <c r="J202" s="119">
        <f>_xlfn.XLOOKUP(J198,'Rubis Energies Division'!3:3,'Rubis Energies Division'!15:15)</f>
        <v>200746.60608784517</v>
      </c>
      <c r="K202" s="119">
        <f>_xlfn.XLOOKUP(K198,'Rubis Energies Division'!3:3,'Rubis Energies Division'!15:15)</f>
        <v>200746.60608784517</v>
      </c>
      <c r="L202" s="119">
        <f>_xlfn.XLOOKUP(L198,'Rubis Energies Division'!3:3,'Rubis Energies Division'!15:15)</f>
        <v>200746.60608784517</v>
      </c>
    </row>
    <row r="203" spans="2:19" x14ac:dyDescent="0.3">
      <c r="C203" s="28" t="s">
        <v>237</v>
      </c>
      <c r="D203" s="119">
        <f>_xlfn.XLOOKUP(D198,'Renewables Division'!3:3,'Renewables Division'!18:18)</f>
        <v>0</v>
      </c>
      <c r="E203" s="119">
        <f>_xlfn.XLOOKUP(E198,'Renewables Division'!3:3,'Renewables Division'!18:18)</f>
        <v>0</v>
      </c>
      <c r="F203" s="119">
        <f>_xlfn.XLOOKUP(F198,'Renewables Division'!3:3,'Renewables Division'!18:18)</f>
        <v>42588.785006369704</v>
      </c>
      <c r="G203" s="119">
        <f>_xlfn.XLOOKUP(G198,'Renewables Division'!3:3,'Renewables Division'!18:18)</f>
        <v>75258.126897091948</v>
      </c>
      <c r="H203" s="119">
        <f>_xlfn.XLOOKUP(H198,'Renewables Division'!3:3,'Renewables Division'!18:18)</f>
        <v>224797.00241988502</v>
      </c>
      <c r="I203" s="119">
        <f>_xlfn.XLOOKUP(I198,'Renewables Division'!3:3,'Renewables Division'!18:18)</f>
        <v>342082.39498678158</v>
      </c>
      <c r="J203" s="119">
        <f>_xlfn.XLOOKUP(J198,'Renewables Division'!3:3,'Renewables Division'!18:18)</f>
        <v>400725.09127022984</v>
      </c>
      <c r="K203" s="119">
        <f>_xlfn.XLOOKUP(K198,'Renewables Division'!3:3,'Renewables Division'!18:18)</f>
        <v>400725.09127022984</v>
      </c>
      <c r="L203" s="119">
        <f>_xlfn.XLOOKUP(L198,'Renewables Division'!3:3,'Renewables Division'!18:18)</f>
        <v>400725.09127022984</v>
      </c>
      <c r="O203" s="43"/>
      <c r="P203" s="43"/>
      <c r="Q203" s="43"/>
      <c r="R203" s="43"/>
    </row>
    <row r="204" spans="2:19" x14ac:dyDescent="0.3">
      <c r="C204" s="47" t="s">
        <v>123</v>
      </c>
      <c r="D204" s="48">
        <v>-136533</v>
      </c>
      <c r="E204" s="48">
        <v>-133276</v>
      </c>
      <c r="F204" s="48">
        <v>-162872</v>
      </c>
      <c r="G204" s="48">
        <v>-182404</v>
      </c>
      <c r="H204" s="49">
        <f>-H229</f>
        <v>-95602.653616924334</v>
      </c>
      <c r="I204" s="49">
        <f t="shared" ref="I204:L204" si="101">-I229</f>
        <v>-117026.02504744734</v>
      </c>
      <c r="J204" s="49">
        <f t="shared" si="101"/>
        <v>-145761.09484705594</v>
      </c>
      <c r="K204" s="49">
        <f t="shared" si="101"/>
        <v>-177705.35943142141</v>
      </c>
      <c r="L204" s="49">
        <f t="shared" si="101"/>
        <v>-210736.80382549888</v>
      </c>
      <c r="R204" s="43"/>
    </row>
    <row r="205" spans="2:19" x14ac:dyDescent="0.3">
      <c r="C205" s="46" t="s">
        <v>75</v>
      </c>
      <c r="D205" s="11">
        <f>D63</f>
        <v>1148302</v>
      </c>
      <c r="E205" s="11">
        <f>E63</f>
        <v>1268465</v>
      </c>
      <c r="F205" s="11">
        <f>F63</f>
        <v>1662305</v>
      </c>
      <c r="G205" s="11">
        <f>G63</f>
        <v>1746515</v>
      </c>
      <c r="H205" s="11">
        <f>SUM(H201:H204)</f>
        <v>2076455.9548908058</v>
      </c>
      <c r="I205" s="11">
        <f>SUM(I201:I204)</f>
        <v>2502258.9309179853</v>
      </c>
      <c r="J205" s="11">
        <f>SUM(J201:J204)</f>
        <v>2957969.5334290043</v>
      </c>
      <c r="K205" s="11">
        <f>SUM(K201:K204)</f>
        <v>3381735.8713556579</v>
      </c>
      <c r="L205" s="11">
        <f>SUM(L201:L204)</f>
        <v>3772470.764888234</v>
      </c>
    </row>
    <row r="206" spans="2:19" x14ac:dyDescent="0.3">
      <c r="E206" s="12"/>
      <c r="Q206" s="12"/>
    </row>
    <row r="207" spans="2:19" x14ac:dyDescent="0.3">
      <c r="C207" s="28" t="s">
        <v>238</v>
      </c>
      <c r="D207" s="50">
        <v>211905</v>
      </c>
      <c r="E207" s="50">
        <v>204330</v>
      </c>
      <c r="F207" s="50">
        <v>224138</v>
      </c>
      <c r="G207" s="50">
        <v>279495</v>
      </c>
      <c r="H207" s="43">
        <f>SUM(H202:H203)</f>
        <v>425543.60850773018</v>
      </c>
      <c r="I207" s="43">
        <f>SUM(I202:I203)</f>
        <v>542829.00107462681</v>
      </c>
      <c r="J207" s="43">
        <f>SUM(J202:J203)</f>
        <v>601471.69735807506</v>
      </c>
      <c r="K207" s="43">
        <f>SUM(K202:K203)</f>
        <v>601471.69735807506</v>
      </c>
      <c r="L207" s="43">
        <f>SUM(L202:L203)</f>
        <v>601471.69735807506</v>
      </c>
      <c r="Q207" s="43"/>
      <c r="R207" s="43"/>
      <c r="S207" s="43"/>
    </row>
    <row r="208" spans="2:19" x14ac:dyDescent="0.3">
      <c r="C208" s="28" t="s">
        <v>253</v>
      </c>
      <c r="D208" s="22">
        <f t="shared" ref="D208:L208" si="102">D207/(D207+D242)</f>
        <v>0.97996189383919574</v>
      </c>
      <c r="E208" s="22">
        <f t="shared" si="102"/>
        <v>0.97818906006146888</v>
      </c>
      <c r="F208" s="22">
        <f t="shared" si="102"/>
        <v>0.96792693196294777</v>
      </c>
      <c r="G208" s="22">
        <f t="shared" si="102"/>
        <v>0.97737827139080447</v>
      </c>
      <c r="H208" s="22">
        <f t="shared" si="102"/>
        <v>0.97601745070580315</v>
      </c>
      <c r="I208" s="22">
        <f t="shared" si="102"/>
        <v>0.97631115301191851</v>
      </c>
      <c r="J208" s="22">
        <f t="shared" si="102"/>
        <v>0.97641509311375818</v>
      </c>
      <c r="K208" s="22">
        <f t="shared" si="102"/>
        <v>0.97641509311375818</v>
      </c>
      <c r="L208" s="22">
        <f t="shared" si="102"/>
        <v>0.97641509311375818</v>
      </c>
      <c r="Q208" s="22"/>
      <c r="R208" s="22"/>
      <c r="S208" s="22"/>
    </row>
    <row r="209" spans="3:19" x14ac:dyDescent="0.3">
      <c r="C209" s="28" t="s">
        <v>368</v>
      </c>
      <c r="D209" s="28"/>
      <c r="E209" s="22"/>
      <c r="F209" s="22"/>
      <c r="G209" s="22"/>
      <c r="H209" s="64">
        <v>0.5</v>
      </c>
      <c r="I209" s="64">
        <v>0.5</v>
      </c>
      <c r="J209" s="64">
        <v>0.5</v>
      </c>
      <c r="K209" s="64">
        <v>0.5</v>
      </c>
      <c r="L209" s="64">
        <v>0.5</v>
      </c>
      <c r="Q209" s="22"/>
      <c r="R209" s="22"/>
      <c r="S209" s="22"/>
    </row>
    <row r="210" spans="3:19" x14ac:dyDescent="0.3">
      <c r="C210" s="28" t="s">
        <v>366</v>
      </c>
      <c r="D210" s="28"/>
      <c r="E210" s="22"/>
      <c r="F210" s="22"/>
      <c r="G210" s="22"/>
      <c r="H210" s="64">
        <v>0.85</v>
      </c>
      <c r="I210" s="64">
        <v>0.85</v>
      </c>
      <c r="J210" s="64">
        <v>0.85</v>
      </c>
      <c r="K210" s="64">
        <v>0.85</v>
      </c>
      <c r="L210" s="64">
        <v>0.85</v>
      </c>
      <c r="Q210" s="22"/>
      <c r="R210" s="22"/>
      <c r="S210" s="22"/>
    </row>
    <row r="211" spans="3:19" x14ac:dyDescent="0.3">
      <c r="E211" s="12"/>
      <c r="F211" s="12"/>
      <c r="G211" s="12"/>
    </row>
    <row r="212" spans="3:19" x14ac:dyDescent="0.3">
      <c r="C212" s="53" t="s">
        <v>124</v>
      </c>
      <c r="D212" s="53"/>
      <c r="E212" s="48"/>
      <c r="F212" s="48"/>
      <c r="G212" s="48"/>
      <c r="H212" s="49"/>
      <c r="I212" s="49"/>
      <c r="J212" s="49"/>
      <c r="K212" s="49"/>
      <c r="L212" s="49"/>
    </row>
    <row r="213" spans="3:19" x14ac:dyDescent="0.3">
      <c r="C213" t="s">
        <v>125</v>
      </c>
      <c r="E213" s="43"/>
      <c r="F213" s="43"/>
      <c r="G213" s="43"/>
    </row>
    <row r="214" spans="3:19" x14ac:dyDescent="0.3">
      <c r="C214" s="28" t="s">
        <v>126</v>
      </c>
      <c r="D214" s="50">
        <v>2633236</v>
      </c>
      <c r="E214" s="50">
        <v>2861262</v>
      </c>
      <c r="F214" s="50">
        <v>3444934</v>
      </c>
      <c r="G214" s="50">
        <v>3756018</v>
      </c>
      <c r="H214" s="43"/>
      <c r="J214" s="43"/>
      <c r="K214" s="43"/>
      <c r="L214" s="43"/>
    </row>
    <row r="215" spans="3:19" x14ac:dyDescent="0.3">
      <c r="C215" s="28" t="s">
        <v>127</v>
      </c>
      <c r="D215" s="50">
        <v>563570</v>
      </c>
      <c r="E215" s="50">
        <v>585930</v>
      </c>
      <c r="F215" s="50">
        <v>980095</v>
      </c>
      <c r="G215" s="50">
        <v>1135881</v>
      </c>
      <c r="J215" s="43"/>
      <c r="K215" s="43"/>
    </row>
    <row r="216" spans="3:19" x14ac:dyDescent="0.3">
      <c r="C216" s="28" t="s">
        <v>128</v>
      </c>
      <c r="D216" s="43">
        <f t="shared" ref="D216:E216" si="103">D214-D205</f>
        <v>1484934</v>
      </c>
      <c r="E216" s="43">
        <f t="shared" si="103"/>
        <v>1592797</v>
      </c>
      <c r="F216" s="43">
        <f>F214-F205</f>
        <v>1782629</v>
      </c>
      <c r="G216" s="43">
        <f>G214-G205</f>
        <v>2009503</v>
      </c>
    </row>
    <row r="217" spans="3:19" x14ac:dyDescent="0.3">
      <c r="C217" s="28" t="s">
        <v>129</v>
      </c>
      <c r="D217" s="43">
        <f t="shared" ref="D217:E217" si="104">D214-D215-D216</f>
        <v>584732</v>
      </c>
      <c r="E217" s="43">
        <f t="shared" si="104"/>
        <v>682535</v>
      </c>
      <c r="F217" s="43">
        <f>F214-F215-F216</f>
        <v>682210</v>
      </c>
      <c r="G217" s="43">
        <f>G214-G215-G216</f>
        <v>610634</v>
      </c>
      <c r="H217" s="43"/>
      <c r="K217" s="43"/>
    </row>
    <row r="218" spans="3:19" x14ac:dyDescent="0.3">
      <c r="F218" s="43"/>
      <c r="G218" s="43"/>
    </row>
    <row r="219" spans="3:19" x14ac:dyDescent="0.3">
      <c r="C219" s="23" t="s">
        <v>130</v>
      </c>
      <c r="D219">
        <f>IF(D220,D220,ROUND((F214-F215)/-F204,0))</f>
        <v>15</v>
      </c>
      <c r="F219" s="43"/>
      <c r="G219" s="43"/>
      <c r="H219" s="43"/>
    </row>
    <row r="220" spans="3:19" x14ac:dyDescent="0.3">
      <c r="C220" s="23" t="s">
        <v>131</v>
      </c>
      <c r="D220" s="4">
        <v>0</v>
      </c>
      <c r="H220" s="43"/>
    </row>
    <row r="221" spans="3:19" x14ac:dyDescent="0.3">
      <c r="C221" s="23" t="s">
        <v>133</v>
      </c>
      <c r="D221" s="51">
        <v>0.5</v>
      </c>
      <c r="H221" s="43"/>
    </row>
    <row r="223" spans="3:19" x14ac:dyDescent="0.3">
      <c r="C223" t="s">
        <v>132</v>
      </c>
      <c r="H223" s="12">
        <f>DDB($G$217,0,$D$219,G198-$F$198)</f>
        <v>81417.866666666669</v>
      </c>
      <c r="I223" s="12">
        <f t="shared" ref="I223:L223" si="105">DDB($G$217,0,$D$219,H198-$F$198)</f>
        <v>70562.151111111103</v>
      </c>
      <c r="J223" s="12">
        <f t="shared" si="105"/>
        <v>61153.864296296299</v>
      </c>
      <c r="K223" s="12">
        <f t="shared" si="105"/>
        <v>53000.015723456796</v>
      </c>
      <c r="L223" s="12">
        <f t="shared" si="105"/>
        <v>45933.346960329225</v>
      </c>
    </row>
    <row r="224" spans="3:19" x14ac:dyDescent="0.3">
      <c r="C224" t="str">
        <f>"Depreciation from CAPX purchased in "&amp;H198</f>
        <v>Depreciation from CAPX purchased in 2024</v>
      </c>
      <c r="H224" s="12">
        <f>D221*$H$207/$D$219</f>
        <v>14184.786950257672</v>
      </c>
      <c r="I224" s="12">
        <f>$H$207/$D$219</f>
        <v>28369.573900515345</v>
      </c>
      <c r="J224" s="12">
        <f t="shared" ref="J224:L224" si="106">$H$207/$D$219</f>
        <v>28369.573900515345</v>
      </c>
      <c r="K224" s="12">
        <f t="shared" si="106"/>
        <v>28369.573900515345</v>
      </c>
      <c r="L224" s="12">
        <f t="shared" si="106"/>
        <v>28369.573900515345</v>
      </c>
    </row>
    <row r="225" spans="2:12" x14ac:dyDescent="0.3">
      <c r="C225" t="str">
        <f>"Depreciation from CAPX purchased in "&amp;I198</f>
        <v>Depreciation from CAPX purchased in 2025</v>
      </c>
      <c r="H225" s="12"/>
      <c r="I225" s="12">
        <f>D221*I207/D219</f>
        <v>18094.300035820892</v>
      </c>
      <c r="J225" s="12">
        <f>$I$207/$D$219</f>
        <v>36188.600071641784</v>
      </c>
      <c r="K225" s="12">
        <f t="shared" ref="K225:L225" si="107">$I$207/$D$219</f>
        <v>36188.600071641784</v>
      </c>
      <c r="L225" s="12">
        <f t="shared" si="107"/>
        <v>36188.600071641784</v>
      </c>
    </row>
    <row r="226" spans="2:12" x14ac:dyDescent="0.3">
      <c r="C226" t="str">
        <f>"Depreciation from CAPX purchased in "&amp;J198</f>
        <v>Depreciation from CAPX purchased in 2026</v>
      </c>
      <c r="H226" s="12"/>
      <c r="I226" s="12"/>
      <c r="J226" s="12">
        <f>D221*J207/$D$219</f>
        <v>20049.056578602504</v>
      </c>
      <c r="K226" s="12">
        <f>$J$207/$D$219</f>
        <v>40098.113157205007</v>
      </c>
      <c r="L226" s="12">
        <f>$J$207/$D$219</f>
        <v>40098.113157205007</v>
      </c>
    </row>
    <row r="227" spans="2:12" x14ac:dyDescent="0.3">
      <c r="C227" t="str">
        <f>"Depreciation from CAPX purchased in "&amp;K198</f>
        <v>Depreciation from CAPX purchased in 2027</v>
      </c>
      <c r="H227" s="12"/>
      <c r="I227" s="12"/>
      <c r="J227" s="12"/>
      <c r="K227" s="12">
        <f>D221*K207/$D$219</f>
        <v>20049.056578602504</v>
      </c>
      <c r="L227" s="12">
        <f>$K$207/D219</f>
        <v>40098.113157205007</v>
      </c>
    </row>
    <row r="228" spans="2:12" x14ac:dyDescent="0.3">
      <c r="C228" t="str">
        <f>"Depreciation from CAPX purchased in "&amp;L198</f>
        <v>Depreciation from CAPX purchased in 2028</v>
      </c>
      <c r="H228" s="12"/>
      <c r="I228" s="12"/>
      <c r="J228" s="12"/>
      <c r="K228" s="12"/>
      <c r="L228" s="12">
        <f>D221*L207/D219</f>
        <v>20049.056578602504</v>
      </c>
    </row>
    <row r="229" spans="2:12" x14ac:dyDescent="0.3">
      <c r="C229" s="2" t="s">
        <v>134</v>
      </c>
      <c r="D229" s="2"/>
      <c r="H229" s="52">
        <f>SUM(H223:H228)</f>
        <v>95602.653616924334</v>
      </c>
      <c r="I229" s="52">
        <f t="shared" ref="I229:L229" si="108">SUM(I223:I228)</f>
        <v>117026.02504744734</v>
      </c>
      <c r="J229" s="52">
        <f t="shared" si="108"/>
        <v>145761.09484705594</v>
      </c>
      <c r="K229" s="52">
        <f t="shared" si="108"/>
        <v>177705.35943142141</v>
      </c>
      <c r="L229" s="52">
        <f t="shared" si="108"/>
        <v>210736.80382549888</v>
      </c>
    </row>
    <row r="230" spans="2:12" x14ac:dyDescent="0.3">
      <c r="C230" s="2"/>
      <c r="D230" s="2"/>
      <c r="H230" s="52"/>
      <c r="I230" s="52"/>
      <c r="J230" s="52"/>
      <c r="K230" s="52"/>
      <c r="L230" s="52"/>
    </row>
    <row r="231" spans="2:12" x14ac:dyDescent="0.3">
      <c r="L231" s="142" t="str">
        <f>UPPER("Active scenario: "&amp;'Scenario Analysis'!$D$3)</f>
        <v>ACTIVE SCENARIO: BASE CASE</v>
      </c>
    </row>
    <row r="232" spans="2:12" x14ac:dyDescent="0.3">
      <c r="B232" t="s">
        <v>7</v>
      </c>
      <c r="C232" s="44" t="s">
        <v>136</v>
      </c>
      <c r="D232" s="44"/>
      <c r="E232" s="45"/>
      <c r="F232" s="45"/>
      <c r="G232" s="45"/>
      <c r="H232" s="45"/>
      <c r="I232" s="45"/>
      <c r="J232" s="45"/>
      <c r="K232" s="45"/>
      <c r="L232" s="45"/>
    </row>
    <row r="233" spans="2:12" x14ac:dyDescent="0.3">
      <c r="C233" t="str">
        <f t="shared" ref="C233:L233" si="109">C12</f>
        <v>Fiscal year</v>
      </c>
      <c r="D233" s="6">
        <f t="shared" si="109"/>
        <v>2020</v>
      </c>
      <c r="E233" s="6">
        <f t="shared" si="109"/>
        <v>2021</v>
      </c>
      <c r="F233" s="6">
        <f t="shared" si="109"/>
        <v>2022</v>
      </c>
      <c r="G233" s="6">
        <f t="shared" si="109"/>
        <v>2023</v>
      </c>
      <c r="H233" s="7">
        <f t="shared" si="109"/>
        <v>2024</v>
      </c>
      <c r="I233" s="7">
        <f t="shared" si="109"/>
        <v>2025</v>
      </c>
      <c r="J233" s="7">
        <f t="shared" si="109"/>
        <v>2026</v>
      </c>
      <c r="K233" s="7">
        <f t="shared" si="109"/>
        <v>2027</v>
      </c>
      <c r="L233" s="7">
        <f t="shared" si="109"/>
        <v>2028</v>
      </c>
    </row>
    <row r="234" spans="2:12" x14ac:dyDescent="0.3">
      <c r="C234" s="8" t="str">
        <f t="shared" ref="C234:L234" si="110">C13</f>
        <v>Fiscal year end date</v>
      </c>
      <c r="D234" s="9">
        <f t="shared" si="110"/>
        <v>44196</v>
      </c>
      <c r="E234" s="9">
        <f t="shared" si="110"/>
        <v>44561</v>
      </c>
      <c r="F234" s="9">
        <f t="shared" si="110"/>
        <v>44926</v>
      </c>
      <c r="G234" s="9">
        <f t="shared" si="110"/>
        <v>45291</v>
      </c>
      <c r="H234" s="9">
        <f t="shared" si="110"/>
        <v>45657</v>
      </c>
      <c r="I234" s="9">
        <f t="shared" si="110"/>
        <v>46022</v>
      </c>
      <c r="J234" s="9">
        <f t="shared" si="110"/>
        <v>46387</v>
      </c>
      <c r="K234" s="9">
        <f t="shared" si="110"/>
        <v>46752</v>
      </c>
      <c r="L234" s="9">
        <f t="shared" si="110"/>
        <v>47118</v>
      </c>
    </row>
    <row r="235" spans="2:12" x14ac:dyDescent="0.3">
      <c r="D235" s="34" t="s">
        <v>82</v>
      </c>
      <c r="E235" s="34"/>
      <c r="F235" s="33"/>
      <c r="G235" s="33"/>
      <c r="H235" s="34" t="s">
        <v>83</v>
      </c>
      <c r="I235" s="33"/>
      <c r="J235" s="33"/>
      <c r="K235" s="33"/>
      <c r="L235" s="33"/>
    </row>
    <row r="236" spans="2:12" x14ac:dyDescent="0.3">
      <c r="C236" s="28" t="s">
        <v>73</v>
      </c>
      <c r="D236" s="28"/>
      <c r="H236" s="12">
        <f>G240</f>
        <v>90665</v>
      </c>
      <c r="I236" s="12">
        <f t="shared" ref="I236:L236" si="111">H240</f>
        <v>93010.165590263932</v>
      </c>
      <c r="J236" s="12">
        <f t="shared" si="111"/>
        <v>98241.857347463287</v>
      </c>
      <c r="K236" s="12">
        <f t="shared" si="111"/>
        <v>104854.63803823169</v>
      </c>
      <c r="L236" s="12">
        <f t="shared" si="111"/>
        <v>111407.26743507138</v>
      </c>
    </row>
    <row r="237" spans="2:12" x14ac:dyDescent="0.3">
      <c r="C237" s="28" t="s">
        <v>236</v>
      </c>
      <c r="D237" s="119">
        <f>_xlfn.XLOOKUP(D233,'Rubis Energies Division'!3:3,'Rubis Energies Division'!16:16)</f>
        <v>4388.3452492161414</v>
      </c>
      <c r="E237" s="119">
        <f>_xlfn.XLOOKUP(E233,'Rubis Energies Division'!3:3,'Rubis Energies Division'!16:16)</f>
        <v>4471.2426873988679</v>
      </c>
      <c r="F237" s="119">
        <f>_xlfn.XLOOKUP(F233,'Rubis Energies Division'!3:3,'Rubis Energies Division'!16:16)</f>
        <v>6895.7096279662301</v>
      </c>
      <c r="G237" s="119">
        <f>_xlfn.XLOOKUP(G233,'Rubis Energies Division'!3:3,'Rubis Energies Division'!16:16)</f>
        <v>4660.0760934942855</v>
      </c>
      <c r="H237" s="119">
        <f>_xlfn.XLOOKUP(H233,'Rubis Energies Division'!3:3,'Rubis Energies Division'!16:16)</f>
        <v>5253.3939121548146</v>
      </c>
      <c r="I237" s="119">
        <f>_xlfn.XLOOKUP(I233,'Rubis Energies Division'!3:3,'Rubis Energies Division'!16:16)</f>
        <v>5253.3939121548146</v>
      </c>
      <c r="J237" s="119">
        <f>_xlfn.XLOOKUP(J233,'Rubis Energies Division'!3:3,'Rubis Energies Division'!16:16)</f>
        <v>5253.3939121548146</v>
      </c>
      <c r="K237" s="119">
        <f>_xlfn.XLOOKUP(K233,'Rubis Energies Division'!3:3,'Rubis Energies Division'!16:16)</f>
        <v>5253.3939121548146</v>
      </c>
      <c r="L237" s="119">
        <f>_xlfn.XLOOKUP(L233,'Rubis Energies Division'!3:3,'Rubis Energies Division'!16:16)</f>
        <v>5253.3939121548146</v>
      </c>
    </row>
    <row r="238" spans="2:12" x14ac:dyDescent="0.3">
      <c r="C238" s="28" t="s">
        <v>237</v>
      </c>
      <c r="D238" s="119">
        <f>_xlfn.XLOOKUP(D233,'Renewables Division'!3:3,'Renewables Division'!19:19)</f>
        <v>0</v>
      </c>
      <c r="E238" s="119">
        <f>_xlfn.XLOOKUP(E233,'Renewables Division'!3:3,'Renewables Division'!19:19)</f>
        <v>0</v>
      </c>
      <c r="F238" s="119">
        <f>_xlfn.XLOOKUP(F233,'Renewables Division'!3:3,'Renewables Division'!19:19)</f>
        <v>1411.2149936302983</v>
      </c>
      <c r="G238" s="119">
        <f>_xlfn.XLOOKUP(G233,'Renewables Division'!3:3,'Renewables Division'!19:19)</f>
        <v>1741.8731029080584</v>
      </c>
      <c r="H238" s="119">
        <f>_xlfn.XLOOKUP(H233,'Renewables Division'!3:3,'Renewables Division'!19:19)</f>
        <v>5202.9975801149794</v>
      </c>
      <c r="I238" s="119">
        <f>_xlfn.XLOOKUP(I233,'Renewables Division'!3:3,'Renewables Division'!19:19)</f>
        <v>7917.6050132184473</v>
      </c>
      <c r="J238" s="119">
        <f>_xlfn.XLOOKUP(J233,'Renewables Division'!3:3,'Renewables Division'!19:19)</f>
        <v>9274.9087297701808</v>
      </c>
      <c r="K238" s="119">
        <f>_xlfn.XLOOKUP(K233,'Renewables Division'!3:3,'Renewables Division'!19:19)</f>
        <v>9274.9087297701808</v>
      </c>
      <c r="L238" s="119">
        <f>_xlfn.XLOOKUP(L233,'Renewables Division'!3:3,'Renewables Division'!19:19)</f>
        <v>9274.9087297701808</v>
      </c>
    </row>
    <row r="239" spans="2:12" x14ac:dyDescent="0.3">
      <c r="C239" s="47" t="s">
        <v>137</v>
      </c>
      <c r="D239" s="48">
        <v>-3525</v>
      </c>
      <c r="E239" s="48">
        <v>-3254</v>
      </c>
      <c r="F239" s="48">
        <v>-4875</v>
      </c>
      <c r="G239" s="48">
        <v>-5587</v>
      </c>
      <c r="H239" s="62">
        <f>-H261</f>
        <v>-8111.2259020058655</v>
      </c>
      <c r="I239" s="62">
        <f t="shared" ref="I239:L239" si="112">-I261</f>
        <v>-7939.3071681739084</v>
      </c>
      <c r="J239" s="62">
        <f t="shared" si="112"/>
        <v>-7915.5219511565992</v>
      </c>
      <c r="K239" s="62">
        <f t="shared" si="112"/>
        <v>-7975.6732450852996</v>
      </c>
      <c r="L239" s="220">
        <f t="shared" si="112"/>
        <v>-8085.5214119121665</v>
      </c>
    </row>
    <row r="240" spans="2:12" x14ac:dyDescent="0.3">
      <c r="C240" s="46" t="s">
        <v>75</v>
      </c>
      <c r="D240" s="46"/>
      <c r="E240" s="11">
        <f>E65</f>
        <v>31574</v>
      </c>
      <c r="F240" s="11">
        <f>F65</f>
        <v>79777</v>
      </c>
      <c r="G240" s="11">
        <f>G65</f>
        <v>90665</v>
      </c>
      <c r="H240" s="11">
        <f>SUM(H236:H239)</f>
        <v>93010.165590263932</v>
      </c>
      <c r="I240" s="11">
        <f>SUM(I236:I239)</f>
        <v>98241.857347463287</v>
      </c>
      <c r="J240" s="11">
        <f>SUM(J236:J239)</f>
        <v>104854.63803823169</v>
      </c>
      <c r="K240" s="11">
        <f>SUM(K236:K239)</f>
        <v>111407.26743507138</v>
      </c>
      <c r="L240" s="11">
        <f>SUM(L236:L239)</f>
        <v>117850.04866508421</v>
      </c>
    </row>
    <row r="241" spans="3:19" x14ac:dyDescent="0.3">
      <c r="C241" s="46"/>
      <c r="D241" s="46"/>
      <c r="E241" s="11"/>
      <c r="F241" s="11"/>
      <c r="G241" s="11"/>
      <c r="H241" s="11"/>
      <c r="I241" s="11"/>
      <c r="J241" s="11"/>
      <c r="K241" s="11"/>
      <c r="L241" s="11"/>
    </row>
    <row r="242" spans="3:19" x14ac:dyDescent="0.3">
      <c r="C242" s="28" t="s">
        <v>240</v>
      </c>
      <c r="D242" s="50">
        <v>4333</v>
      </c>
      <c r="E242" s="50">
        <v>4556</v>
      </c>
      <c r="F242" s="50">
        <v>7427</v>
      </c>
      <c r="G242" s="10">
        <v>6469</v>
      </c>
      <c r="H242" s="12">
        <f>SUM(H237:H238)</f>
        <v>10456.391492269795</v>
      </c>
      <c r="I242" s="12">
        <f>SUM(I237:I238)</f>
        <v>13170.998925373262</v>
      </c>
      <c r="J242" s="12">
        <f>SUM(J237:J238)</f>
        <v>14528.302641924995</v>
      </c>
      <c r="K242" s="12">
        <f>SUM(K237:K238)</f>
        <v>14528.302641924995</v>
      </c>
      <c r="L242" s="12">
        <f>SUM(L237:L238)</f>
        <v>14528.302641924995</v>
      </c>
      <c r="Q242" s="43"/>
      <c r="R242" s="43"/>
      <c r="S242" s="43"/>
    </row>
    <row r="243" spans="3:19" x14ac:dyDescent="0.3">
      <c r="C243" s="28" t="s">
        <v>254</v>
      </c>
      <c r="D243" s="22">
        <f t="shared" ref="D243:F243" si="113">D242/(D207+D242)</f>
        <v>2.00381061608043E-2</v>
      </c>
      <c r="E243" s="22">
        <f t="shared" si="113"/>
        <v>2.1810939938531063E-2</v>
      </c>
      <c r="F243" s="22">
        <f t="shared" si="113"/>
        <v>3.2073068037052233E-2</v>
      </c>
      <c r="G243" s="22">
        <f t="shared" ref="G243:L243" si="114">G242/(G207+G242)</f>
        <v>2.2621728609195563E-2</v>
      </c>
      <c r="H243" s="22">
        <f t="shared" si="114"/>
        <v>2.3982549294196777E-2</v>
      </c>
      <c r="I243" s="22">
        <f t="shared" si="114"/>
        <v>2.3688846988081401E-2</v>
      </c>
      <c r="J243" s="22">
        <f t="shared" si="114"/>
        <v>2.3584906886241874E-2</v>
      </c>
      <c r="K243" s="22">
        <f t="shared" si="114"/>
        <v>2.3584906886241874E-2</v>
      </c>
      <c r="L243" s="22">
        <f t="shared" si="114"/>
        <v>2.3584906886241874E-2</v>
      </c>
      <c r="Q243" s="22"/>
      <c r="R243" s="22"/>
      <c r="S243" s="22"/>
    </row>
    <row r="244" spans="3:19" x14ac:dyDescent="0.3">
      <c r="C244" s="28" t="s">
        <v>367</v>
      </c>
      <c r="D244" s="28"/>
      <c r="E244" s="22"/>
      <c r="F244" s="22"/>
      <c r="G244" s="22"/>
      <c r="H244" s="64">
        <v>0.5</v>
      </c>
      <c r="I244" s="64">
        <v>0.5</v>
      </c>
      <c r="J244" s="64">
        <v>0.5</v>
      </c>
      <c r="K244" s="64">
        <v>0.5</v>
      </c>
      <c r="L244" s="64">
        <v>0.5</v>
      </c>
      <c r="Q244" s="22"/>
      <c r="R244" s="22"/>
      <c r="S244" s="22"/>
    </row>
    <row r="245" spans="3:19" x14ac:dyDescent="0.3">
      <c r="C245" s="28" t="s">
        <v>366</v>
      </c>
      <c r="D245" s="28"/>
      <c r="E245" s="22"/>
      <c r="F245" s="22"/>
      <c r="G245" s="22"/>
      <c r="H245" s="64">
        <v>0.85</v>
      </c>
      <c r="I245" s="64">
        <v>0.85</v>
      </c>
      <c r="J245" s="64">
        <v>0.85</v>
      </c>
      <c r="K245" s="64">
        <v>0.85</v>
      </c>
      <c r="L245" s="64">
        <v>0.85</v>
      </c>
      <c r="Q245" s="22"/>
      <c r="R245" s="22"/>
      <c r="S245" s="22"/>
    </row>
    <row r="246" spans="3:19" x14ac:dyDescent="0.3">
      <c r="C246" s="46"/>
      <c r="D246" s="46"/>
      <c r="E246" s="11"/>
      <c r="F246" s="11"/>
      <c r="G246" s="11"/>
      <c r="H246" s="2"/>
      <c r="I246" s="2"/>
      <c r="J246" s="2"/>
      <c r="K246" s="2"/>
      <c r="L246" s="2"/>
    </row>
    <row r="247" spans="3:19" x14ac:dyDescent="0.3">
      <c r="C247" s="53" t="s">
        <v>138</v>
      </c>
      <c r="D247" s="53"/>
      <c r="E247" s="48"/>
      <c r="F247" s="48"/>
      <c r="G247" s="48"/>
      <c r="H247" s="49"/>
      <c r="I247" s="49"/>
      <c r="J247" s="49"/>
      <c r="K247" s="49"/>
      <c r="L247" s="49"/>
    </row>
    <row r="249" spans="3:19" x14ac:dyDescent="0.3">
      <c r="C249" t="s">
        <v>139</v>
      </c>
      <c r="D249" s="50">
        <v>56807</v>
      </c>
      <c r="E249" s="50">
        <v>61002</v>
      </c>
      <c r="F249" s="50">
        <v>114540</v>
      </c>
      <c r="G249" s="50">
        <v>129735</v>
      </c>
    </row>
    <row r="251" spans="3:19" x14ac:dyDescent="0.3">
      <c r="C251" s="23" t="s">
        <v>130</v>
      </c>
      <c r="D251">
        <f>IF(D252,D252,ROUND(G249/-G239,0))</f>
        <v>23</v>
      </c>
    </row>
    <row r="252" spans="3:19" x14ac:dyDescent="0.3">
      <c r="C252" s="23" t="s">
        <v>131</v>
      </c>
      <c r="D252" s="4">
        <v>0</v>
      </c>
    </row>
    <row r="253" spans="3:19" x14ac:dyDescent="0.3">
      <c r="C253" s="23" t="s">
        <v>133</v>
      </c>
      <c r="D253" s="51">
        <v>0.5</v>
      </c>
    </row>
    <row r="255" spans="3:19" x14ac:dyDescent="0.3">
      <c r="C255" s="23" t="s">
        <v>140</v>
      </c>
      <c r="D255" s="23"/>
      <c r="H255" s="12">
        <f>DDB($G$240,0,$D$251,H233-$G$233)</f>
        <v>7883.913043478261</v>
      </c>
      <c r="I255" s="12">
        <f>DDB($G$240,0,$D$251,I233-$G$233)</f>
        <v>7198.3553875236294</v>
      </c>
      <c r="J255" s="12">
        <f>DDB($G$240,0,$D$251,J233-$G$233)</f>
        <v>6572.4114407824445</v>
      </c>
      <c r="K255" s="12">
        <f>DDB($G$240,0,$D$251,K233-$G$233)</f>
        <v>6000.8974024535373</v>
      </c>
      <c r="L255" s="12">
        <f>DDB($G$240,0,$D$251,L233-$G$233)</f>
        <v>5479.0802370227948</v>
      </c>
    </row>
    <row r="256" spans="3:19" x14ac:dyDescent="0.3">
      <c r="C256" t="str">
        <f>"Amoritization in CAPX purchased in "&amp;H233</f>
        <v>Amoritization in CAPX purchased in 2024</v>
      </c>
      <c r="H256" s="12">
        <f>D253*H242/$D$251</f>
        <v>227.31285852760425</v>
      </c>
      <c r="I256" s="12">
        <f>$H$242/$D$251</f>
        <v>454.6257170552085</v>
      </c>
      <c r="J256" s="12">
        <f>$H$242/$D$251</f>
        <v>454.6257170552085</v>
      </c>
      <c r="K256" s="12">
        <f>$H$242/$D$251</f>
        <v>454.6257170552085</v>
      </c>
      <c r="L256" s="12">
        <f>$H$242/$D$251</f>
        <v>454.6257170552085</v>
      </c>
    </row>
    <row r="257" spans="2:20" x14ac:dyDescent="0.3">
      <c r="C257" t="str">
        <f>"Amoritization in CAPX purchased in "&amp;I233</f>
        <v>Amoritization in CAPX purchased in 2025</v>
      </c>
      <c r="H257" s="12"/>
      <c r="I257" s="12">
        <f>D253*I242/$D$251</f>
        <v>286.32606359507093</v>
      </c>
      <c r="J257" s="12">
        <f>$I$242/$D$251</f>
        <v>572.65212719014187</v>
      </c>
      <c r="K257" s="12">
        <f>$I$242/$D$251</f>
        <v>572.65212719014187</v>
      </c>
      <c r="L257" s="12">
        <f>$I$242/$D$251</f>
        <v>572.65212719014187</v>
      </c>
    </row>
    <row r="258" spans="2:20" x14ac:dyDescent="0.3">
      <c r="C258" t="str">
        <f>"Amoritization in CAPX purchased in "&amp;J233</f>
        <v>Amoritization in CAPX purchased in 2026</v>
      </c>
      <c r="H258" s="12"/>
      <c r="I258" s="12"/>
      <c r="J258" s="12">
        <f>D253*J242/$D$251</f>
        <v>315.83266612880425</v>
      </c>
      <c r="K258" s="12">
        <f>$J$242/$D$251</f>
        <v>631.6653322576085</v>
      </c>
      <c r="L258" s="12">
        <f>$J$242/$D$251</f>
        <v>631.6653322576085</v>
      </c>
    </row>
    <row r="259" spans="2:20" x14ac:dyDescent="0.3">
      <c r="C259" t="str">
        <f>"Amoritization in CAPX purchased in "&amp;K233</f>
        <v>Amoritization in CAPX purchased in 2027</v>
      </c>
      <c r="H259" s="12"/>
      <c r="I259" s="12"/>
      <c r="J259" s="12"/>
      <c r="K259" s="12">
        <f>D253*K242/$D$251</f>
        <v>315.83266612880425</v>
      </c>
      <c r="L259" s="12">
        <f>$K$242/$D$251</f>
        <v>631.6653322576085</v>
      </c>
    </row>
    <row r="260" spans="2:20" x14ac:dyDescent="0.3">
      <c r="C260" t="str">
        <f>"Amoritization in CAPX purchased in "&amp;L233</f>
        <v>Amoritization in CAPX purchased in 2028</v>
      </c>
      <c r="H260" s="12"/>
      <c r="I260" s="12"/>
      <c r="J260" s="12"/>
      <c r="K260" s="12"/>
      <c r="L260" s="12">
        <f>D253*L242/D251</f>
        <v>315.83266612880425</v>
      </c>
    </row>
    <row r="261" spans="2:20" x14ac:dyDescent="0.3">
      <c r="C261" s="2" t="s">
        <v>141</v>
      </c>
      <c r="D261" s="2"/>
      <c r="H261" s="52">
        <f>SUM(H255:H260)</f>
        <v>8111.2259020058655</v>
      </c>
      <c r="I261" s="52">
        <f t="shared" ref="I261:L261" si="115">SUM(I255:I260)</f>
        <v>7939.3071681739084</v>
      </c>
      <c r="J261" s="52">
        <f t="shared" si="115"/>
        <v>7915.5219511565992</v>
      </c>
      <c r="K261" s="52">
        <f t="shared" si="115"/>
        <v>7975.6732450852996</v>
      </c>
      <c r="L261" s="52">
        <f t="shared" si="115"/>
        <v>8085.5214119121665</v>
      </c>
    </row>
    <row r="262" spans="2:20" x14ac:dyDescent="0.3">
      <c r="C262" s="2"/>
      <c r="D262" s="2"/>
      <c r="H262" s="52"/>
      <c r="I262" s="52"/>
      <c r="J262" s="52"/>
      <c r="K262" s="52"/>
      <c r="L262" s="52"/>
    </row>
    <row r="263" spans="2:20" x14ac:dyDescent="0.3">
      <c r="B263" t="s">
        <v>7</v>
      </c>
      <c r="C263" s="44" t="s">
        <v>171</v>
      </c>
      <c r="D263" s="2"/>
      <c r="H263" s="52"/>
      <c r="I263" s="52"/>
      <c r="J263" s="52"/>
      <c r="K263" s="52"/>
      <c r="L263" s="52"/>
    </row>
    <row r="264" spans="2:20" x14ac:dyDescent="0.3">
      <c r="C264" t="str">
        <f t="shared" ref="C264:L264" si="116">C12</f>
        <v>Fiscal year</v>
      </c>
      <c r="D264" s="6">
        <f t="shared" si="116"/>
        <v>2020</v>
      </c>
      <c r="E264" s="6">
        <f t="shared" si="116"/>
        <v>2021</v>
      </c>
      <c r="F264" s="6">
        <f t="shared" si="116"/>
        <v>2022</v>
      </c>
      <c r="G264" s="6">
        <f t="shared" si="116"/>
        <v>2023</v>
      </c>
      <c r="H264" s="7">
        <f t="shared" si="116"/>
        <v>2024</v>
      </c>
      <c r="I264" s="7">
        <f t="shared" si="116"/>
        <v>2025</v>
      </c>
      <c r="J264" s="7">
        <f t="shared" si="116"/>
        <v>2026</v>
      </c>
      <c r="K264" s="7">
        <f t="shared" si="116"/>
        <v>2027</v>
      </c>
      <c r="L264" s="7">
        <f t="shared" si="116"/>
        <v>2028</v>
      </c>
      <c r="T264" s="43"/>
    </row>
    <row r="265" spans="2:20" x14ac:dyDescent="0.3">
      <c r="C265" s="8" t="str">
        <f t="shared" ref="C265:L265" si="117">C13</f>
        <v>Fiscal year end date</v>
      </c>
      <c r="D265" s="9">
        <f t="shared" si="117"/>
        <v>44196</v>
      </c>
      <c r="E265" s="9">
        <f t="shared" si="117"/>
        <v>44561</v>
      </c>
      <c r="F265" s="9">
        <f t="shared" si="117"/>
        <v>44926</v>
      </c>
      <c r="G265" s="9">
        <f t="shared" si="117"/>
        <v>45291</v>
      </c>
      <c r="H265" s="9">
        <f t="shared" si="117"/>
        <v>45657</v>
      </c>
      <c r="I265" s="9">
        <f t="shared" si="117"/>
        <v>46022</v>
      </c>
      <c r="J265" s="9">
        <f t="shared" si="117"/>
        <v>46387</v>
      </c>
      <c r="K265" s="9">
        <f t="shared" si="117"/>
        <v>46752</v>
      </c>
      <c r="L265" s="9">
        <f t="shared" si="117"/>
        <v>47118</v>
      </c>
      <c r="Q265" s="12"/>
      <c r="T265" s="12"/>
    </row>
    <row r="266" spans="2:20" x14ac:dyDescent="0.3">
      <c r="C266" s="5"/>
      <c r="D266" s="5"/>
      <c r="E266" s="29"/>
      <c r="F266" s="29"/>
      <c r="G266" s="29"/>
      <c r="H266" s="29"/>
      <c r="I266" s="29"/>
      <c r="J266" s="29"/>
      <c r="K266" s="29"/>
      <c r="L266" s="29"/>
      <c r="Q266" s="12"/>
      <c r="T266" s="12"/>
    </row>
    <row r="267" spans="2:20" x14ac:dyDescent="0.3">
      <c r="C267" s="2" t="s">
        <v>175</v>
      </c>
      <c r="D267" s="34" t="s">
        <v>82</v>
      </c>
      <c r="E267" s="34"/>
      <c r="F267" s="33"/>
      <c r="G267" s="33"/>
      <c r="H267" s="34" t="s">
        <v>83</v>
      </c>
      <c r="I267" s="33"/>
      <c r="J267" s="33"/>
      <c r="K267" s="33"/>
      <c r="L267" s="33"/>
      <c r="Q267" s="12"/>
      <c r="T267" s="12"/>
    </row>
    <row r="268" spans="2:20" x14ac:dyDescent="0.3">
      <c r="C268" s="28" t="s">
        <v>73</v>
      </c>
      <c r="D268" s="10">
        <v>182622</v>
      </c>
      <c r="E268" s="12">
        <f t="shared" ref="E268" si="118">D271</f>
        <v>178542</v>
      </c>
      <c r="F268" s="12">
        <f t="shared" ref="F268" si="119">E271</f>
        <v>166288</v>
      </c>
      <c r="G268" s="12">
        <f t="shared" ref="G268:L268" si="120">F271</f>
        <v>221748</v>
      </c>
      <c r="H268" s="12">
        <f t="shared" si="120"/>
        <v>230764</v>
      </c>
      <c r="I268" s="12">
        <f t="shared" ca="1" si="120"/>
        <v>256564.7931187599</v>
      </c>
      <c r="J268" s="12">
        <f t="shared" ca="1" si="120"/>
        <v>272336.43770091649</v>
      </c>
      <c r="K268" s="12">
        <f t="shared" ca="1" si="120"/>
        <v>283393.54441433656</v>
      </c>
      <c r="L268" s="12">
        <f t="shared" ca="1" si="120"/>
        <v>294981.97129608423</v>
      </c>
      <c r="Q268" s="12"/>
    </row>
    <row r="269" spans="2:20" x14ac:dyDescent="0.3">
      <c r="C269" s="28" t="s">
        <v>172</v>
      </c>
      <c r="D269" s="50">
        <v>37971</v>
      </c>
      <c r="E269" s="50">
        <v>24103</v>
      </c>
      <c r="F269" s="50">
        <v>42348</v>
      </c>
      <c r="G269" s="50">
        <v>60106</v>
      </c>
      <c r="H269" s="50">
        <f ca="1">G269*(1+H41)</f>
        <v>63287.623358664488</v>
      </c>
      <c r="I269" s="50">
        <f ca="1">H269*(1+I41)</f>
        <v>62223.559297501663</v>
      </c>
      <c r="J269" s="50">
        <f ca="1">I269*(1+J41)</f>
        <v>66719.219946170313</v>
      </c>
      <c r="K269" s="50">
        <f ca="1">J269*(1+K41)</f>
        <v>77555.906273010783</v>
      </c>
      <c r="L269" s="50">
        <f ca="1">K269*(1+L41)</f>
        <v>91212.057242978684</v>
      </c>
      <c r="Q269" s="12"/>
    </row>
    <row r="270" spans="2:20" x14ac:dyDescent="0.3">
      <c r="C270" s="47" t="s">
        <v>177</v>
      </c>
      <c r="D270" s="48">
        <f>-486-38104+6637+2150</f>
        <v>-29803</v>
      </c>
      <c r="E270" s="48">
        <f>-36141+20169-1681</f>
        <v>-17653</v>
      </c>
      <c r="F270" s="48">
        <f>-33272+24133+857</f>
        <v>-8282</v>
      </c>
      <c r="G270" s="48">
        <v>-48743</v>
      </c>
      <c r="H270" s="49">
        <f ca="1">-H286</f>
        <v>-37486.830239904608</v>
      </c>
      <c r="I270" s="49">
        <f t="shared" ref="I270:L270" ca="1" si="121">-I286</f>
        <v>-46451.914715345054</v>
      </c>
      <c r="J270" s="49">
        <f t="shared" ca="1" si="121"/>
        <v>-55662.113232750198</v>
      </c>
      <c r="K270" s="49">
        <f t="shared" ca="1" si="121"/>
        <v>-65967.479391263128</v>
      </c>
      <c r="L270" s="49">
        <f t="shared" ca="1" si="121"/>
        <v>-78022.333928119522</v>
      </c>
      <c r="P270" s="43"/>
      <c r="Q270" s="43"/>
      <c r="S270" s="12"/>
      <c r="T270" s="12"/>
    </row>
    <row r="271" spans="2:20" x14ac:dyDescent="0.3">
      <c r="C271" s="80" t="s">
        <v>75</v>
      </c>
      <c r="D271" s="52">
        <f>D64</f>
        <v>178542</v>
      </c>
      <c r="E271" s="52">
        <f>E64</f>
        <v>166288</v>
      </c>
      <c r="F271" s="52">
        <f>F64</f>
        <v>221748</v>
      </c>
      <c r="G271" s="52">
        <f>G64</f>
        <v>230764</v>
      </c>
      <c r="H271" s="52">
        <f ca="1">SUM(H268:H270)</f>
        <v>256564.7931187599</v>
      </c>
      <c r="I271" s="52">
        <f ca="1">SUM(I268:I270)</f>
        <v>272336.43770091649</v>
      </c>
      <c r="J271" s="52">
        <f ca="1">SUM(J268:J270)</f>
        <v>283393.54441433656</v>
      </c>
      <c r="K271" s="52">
        <f ca="1">SUM(K268:K270)</f>
        <v>294981.97129608423</v>
      </c>
      <c r="L271" s="52">
        <f ca="1">SUM(L268:L270)</f>
        <v>308171.69461094344</v>
      </c>
      <c r="Q271" s="12"/>
      <c r="R271" s="12"/>
    </row>
    <row r="272" spans="2:20" x14ac:dyDescent="0.3">
      <c r="C272" s="80"/>
      <c r="D272" s="80"/>
      <c r="E272" s="52"/>
      <c r="F272" s="52"/>
      <c r="G272" s="52"/>
      <c r="H272" s="52"/>
      <c r="I272" s="52"/>
      <c r="J272" s="52"/>
      <c r="K272" s="52"/>
      <c r="L272" s="52"/>
      <c r="Q272" s="12"/>
    </row>
    <row r="273" spans="3:17" x14ac:dyDescent="0.3">
      <c r="C273" s="53" t="s">
        <v>124</v>
      </c>
      <c r="D273" s="53"/>
      <c r="E273" s="48"/>
      <c r="F273" s="48"/>
      <c r="G273" s="48"/>
      <c r="H273" s="49"/>
      <c r="I273" s="49"/>
      <c r="J273" s="49"/>
      <c r="K273" s="49"/>
      <c r="L273" s="49"/>
      <c r="Q273" s="12"/>
    </row>
    <row r="274" spans="3:17" x14ac:dyDescent="0.3">
      <c r="C274" s="23" t="s">
        <v>178</v>
      </c>
      <c r="D274" s="50">
        <v>237658</v>
      </c>
      <c r="E274" s="50">
        <v>243057</v>
      </c>
      <c r="F274" s="50">
        <v>306799</v>
      </c>
      <c r="G274" s="50">
        <v>364558</v>
      </c>
      <c r="H274" s="43"/>
      <c r="J274" s="43"/>
      <c r="K274" s="43"/>
      <c r="L274" s="43"/>
      <c r="Q274" s="12"/>
    </row>
    <row r="275" spans="3:17" x14ac:dyDescent="0.3">
      <c r="G275" s="43"/>
      <c r="O275" s="43"/>
      <c r="P275" s="43"/>
      <c r="Q275" s="43"/>
    </row>
    <row r="276" spans="3:17" x14ac:dyDescent="0.3">
      <c r="C276" s="23" t="s">
        <v>130</v>
      </c>
      <c r="D276">
        <f>IF(D277,D277,ROUND(G274/-G270,0))</f>
        <v>7</v>
      </c>
      <c r="G276" s="43"/>
      <c r="H276" s="43"/>
      <c r="Q276" s="12"/>
    </row>
    <row r="277" spans="3:17" x14ac:dyDescent="0.3">
      <c r="C277" s="23" t="s">
        <v>131</v>
      </c>
      <c r="D277" s="4">
        <v>0</v>
      </c>
      <c r="H277" s="43"/>
      <c r="Q277" s="12"/>
    </row>
    <row r="278" spans="3:17" x14ac:dyDescent="0.3">
      <c r="C278" s="23" t="s">
        <v>133</v>
      </c>
      <c r="D278" s="51">
        <v>0.5</v>
      </c>
      <c r="H278" s="43"/>
    </row>
    <row r="280" spans="3:17" x14ac:dyDescent="0.3">
      <c r="C280" t="s">
        <v>179</v>
      </c>
      <c r="H280" s="12">
        <f>$G$271/$D$276</f>
        <v>32966.285714285717</v>
      </c>
      <c r="I280" s="12">
        <f>$G$271/$D$276</f>
        <v>32966.285714285717</v>
      </c>
      <c r="J280" s="12">
        <f>$G$271/$D$276</f>
        <v>32966.285714285717</v>
      </c>
      <c r="K280" s="12">
        <f>$G$271/$D$276</f>
        <v>32966.285714285717</v>
      </c>
      <c r="L280" s="12">
        <f>$G$271/$D$276</f>
        <v>32966.285714285717</v>
      </c>
      <c r="Q280" s="12"/>
    </row>
    <row r="281" spans="3:17" x14ac:dyDescent="0.3">
      <c r="C281" t="str">
        <f>"Depreciation from additions made in "&amp;H264</f>
        <v>Depreciation from additions made in 2024</v>
      </c>
      <c r="H281" s="12">
        <f ca="1">D278*H269/$D$276</f>
        <v>4520.5445256188923</v>
      </c>
      <c r="I281" s="12">
        <f ca="1">$H$269/$D$276</f>
        <v>9041.0890512377846</v>
      </c>
      <c r="J281" s="12">
        <f ca="1">$H$269/$D$276</f>
        <v>9041.0890512377846</v>
      </c>
      <c r="K281" s="12">
        <f ca="1">$H$269/$D$276</f>
        <v>9041.0890512377846</v>
      </c>
      <c r="L281" s="12">
        <f ca="1">$H$269/$D$276</f>
        <v>9041.0890512377846</v>
      </c>
      <c r="Q281" s="43"/>
    </row>
    <row r="282" spans="3:17" x14ac:dyDescent="0.3">
      <c r="C282" t="str">
        <f>"Depreciation from additions made in "&amp;I264</f>
        <v>Depreciation from additions made in 2025</v>
      </c>
      <c r="H282" s="12"/>
      <c r="I282" s="12">
        <f ca="1">D278*I269/$D$276</f>
        <v>4444.5399498215475</v>
      </c>
      <c r="J282" s="12">
        <f ca="1">$I$269/$D$276</f>
        <v>8889.0798996430949</v>
      </c>
      <c r="K282" s="12">
        <f ca="1">$I$269/$D$276</f>
        <v>8889.0798996430949</v>
      </c>
      <c r="L282" s="12">
        <f ca="1">$I$269/$D$276</f>
        <v>8889.0798996430949</v>
      </c>
      <c r="Q282" s="12"/>
    </row>
    <row r="283" spans="3:17" x14ac:dyDescent="0.3">
      <c r="C283" t="str">
        <f>"Depreciation from additions made in "&amp;J264</f>
        <v>Depreciation from additions made in 2026</v>
      </c>
      <c r="H283" s="12"/>
      <c r="I283" s="12"/>
      <c r="J283" s="12">
        <f ca="1">D278*J269/$D$276</f>
        <v>4765.658567583594</v>
      </c>
      <c r="K283" s="12">
        <f ca="1">$J$269/$D$276</f>
        <v>9531.3171351671881</v>
      </c>
      <c r="L283" s="12">
        <f ca="1">$J$269/$D$276</f>
        <v>9531.3171351671881</v>
      </c>
    </row>
    <row r="284" spans="3:17" x14ac:dyDescent="0.3">
      <c r="C284" t="str">
        <f>"Depreciation from additions made in "&amp;K264</f>
        <v>Depreciation from additions made in 2027</v>
      </c>
      <c r="H284" s="12"/>
      <c r="I284" s="12"/>
      <c r="J284" s="12"/>
      <c r="K284" s="12">
        <f ca="1">D278*K269/$D$276</f>
        <v>5539.7075909293417</v>
      </c>
      <c r="L284" s="12">
        <f ca="1">$K$269/$D$276</f>
        <v>11079.415181858683</v>
      </c>
      <c r="Q284" s="12"/>
    </row>
    <row r="285" spans="3:17" x14ac:dyDescent="0.3">
      <c r="C285" t="str">
        <f>"Depreciation from additions made in "&amp;L264</f>
        <v>Depreciation from additions made in 2028</v>
      </c>
      <c r="H285" s="12"/>
      <c r="I285" s="12"/>
      <c r="J285" s="12"/>
      <c r="K285" s="12"/>
      <c r="L285" s="12">
        <f ca="1">D278*L269/$D$276</f>
        <v>6515.1469459270493</v>
      </c>
      <c r="Q285" s="12"/>
    </row>
    <row r="286" spans="3:17" x14ac:dyDescent="0.3">
      <c r="C286" s="2" t="s">
        <v>134</v>
      </c>
      <c r="D286" s="2"/>
      <c r="H286" s="52">
        <f ca="1">SUM(H280:H285)</f>
        <v>37486.830239904608</v>
      </c>
      <c r="I286" s="52">
        <f t="shared" ref="I286:L286" ca="1" si="122">SUM(I280:I285)</f>
        <v>46451.914715345054</v>
      </c>
      <c r="J286" s="52">
        <f t="shared" ca="1" si="122"/>
        <v>55662.113232750198</v>
      </c>
      <c r="K286" s="52">
        <f t="shared" ca="1" si="122"/>
        <v>65967.479391263128</v>
      </c>
      <c r="L286" s="52">
        <f t="shared" ca="1" si="122"/>
        <v>78022.333928119522</v>
      </c>
      <c r="Q286" s="12"/>
    </row>
    <row r="287" spans="3:17" x14ac:dyDescent="0.3">
      <c r="C287" s="53"/>
      <c r="D287" s="53"/>
      <c r="E287" s="48"/>
      <c r="F287" s="48"/>
      <c r="G287" s="48"/>
      <c r="H287" s="49"/>
      <c r="I287" s="49"/>
      <c r="J287" s="49"/>
      <c r="K287" s="49"/>
      <c r="L287" s="49"/>
      <c r="Q287" s="12"/>
    </row>
    <row r="288" spans="3:17" x14ac:dyDescent="0.3">
      <c r="C288" s="2" t="s">
        <v>142</v>
      </c>
      <c r="D288" s="2"/>
      <c r="H288" s="52">
        <f ca="1">H261+H229+H286</f>
        <v>141200.7097588348</v>
      </c>
      <c r="I288" s="52">
        <f ca="1">I261+I229+I286</f>
        <v>171417.2469309663</v>
      </c>
      <c r="J288" s="52">
        <f ca="1">J261+J229+J286</f>
        <v>209338.73003096273</v>
      </c>
      <c r="K288" s="52">
        <f ca="1">K261+K229+K286</f>
        <v>251648.51206776983</v>
      </c>
      <c r="L288" s="52">
        <f ca="1">L261+L229+L286</f>
        <v>296844.65916553058</v>
      </c>
      <c r="Q288" s="12"/>
    </row>
    <row r="289" spans="2:17" x14ac:dyDescent="0.3">
      <c r="C289" s="2"/>
      <c r="D289" s="2"/>
      <c r="H289" s="52"/>
      <c r="I289" s="52"/>
      <c r="J289" s="52"/>
      <c r="K289" s="52"/>
      <c r="L289" s="52"/>
      <c r="Q289" s="12"/>
    </row>
    <row r="290" spans="2:17" x14ac:dyDescent="0.3">
      <c r="C290" s="2" t="s">
        <v>173</v>
      </c>
      <c r="D290" s="34" t="s">
        <v>82</v>
      </c>
      <c r="E290" s="34"/>
      <c r="F290" s="33"/>
      <c r="G290" s="33"/>
      <c r="H290" s="34" t="s">
        <v>83</v>
      </c>
      <c r="I290" s="33"/>
      <c r="J290" s="33"/>
      <c r="K290" s="33"/>
      <c r="L290" s="33"/>
      <c r="Q290" s="12"/>
    </row>
    <row r="291" spans="2:17" x14ac:dyDescent="0.3">
      <c r="C291" s="23" t="s">
        <v>73</v>
      </c>
      <c r="D291" s="50">
        <v>182813</v>
      </c>
      <c r="E291" s="12">
        <f>D77</f>
        <v>171194</v>
      </c>
      <c r="F291" s="12">
        <f>E77</f>
        <v>161917</v>
      </c>
      <c r="G291" s="12">
        <f>F77</f>
        <v>224649</v>
      </c>
      <c r="H291" s="12">
        <f>G300</f>
        <v>238758</v>
      </c>
      <c r="I291" s="12">
        <f t="shared" ref="I291:L291" ca="1" si="123">H300</f>
        <v>265520.51362654072</v>
      </c>
      <c r="J291" s="12">
        <f t="shared" ca="1" si="123"/>
        <v>286047.76116179</v>
      </c>
      <c r="K291" s="12">
        <f t="shared" ca="1" si="123"/>
        <v>307096.81418421934</v>
      </c>
      <c r="L291" s="12">
        <f t="shared" ca="1" si="123"/>
        <v>335073.00631913793</v>
      </c>
      <c r="Q291" s="12"/>
    </row>
    <row r="292" spans="2:17" x14ac:dyDescent="0.3">
      <c r="C292" s="28" t="s">
        <v>172</v>
      </c>
      <c r="D292" s="84">
        <f>D269</f>
        <v>37971</v>
      </c>
      <c r="E292" s="84">
        <f t="shared" ref="E292:F292" si="124">E269</f>
        <v>24103</v>
      </c>
      <c r="F292" s="84">
        <f t="shared" si="124"/>
        <v>42348</v>
      </c>
      <c r="G292" s="84">
        <f t="shared" ref="G292:L292" si="125">G269</f>
        <v>60106</v>
      </c>
      <c r="H292" s="84">
        <f t="shared" ca="1" si="125"/>
        <v>63287.623358664488</v>
      </c>
      <c r="I292" s="84">
        <f t="shared" ca="1" si="125"/>
        <v>62223.559297501663</v>
      </c>
      <c r="J292" s="84">
        <f t="shared" ca="1" si="125"/>
        <v>66719.219946170313</v>
      </c>
      <c r="K292" s="84">
        <f t="shared" ca="1" si="125"/>
        <v>77555.906273010783</v>
      </c>
      <c r="L292" s="84">
        <f t="shared" ca="1" si="125"/>
        <v>91212.057242978684</v>
      </c>
      <c r="Q292" s="12"/>
    </row>
    <row r="293" spans="2:17" x14ac:dyDescent="0.3">
      <c r="C293" s="28" t="s">
        <v>174</v>
      </c>
      <c r="D293" s="10">
        <v>-42531</v>
      </c>
      <c r="E293" s="10">
        <v>-41923</v>
      </c>
      <c r="F293" s="10">
        <v>-33180</v>
      </c>
      <c r="G293" s="10">
        <v>-36516</v>
      </c>
      <c r="H293" s="81">
        <f>-H296*H291</f>
        <v>-48734.696411001176</v>
      </c>
      <c r="I293" s="81">
        <f ca="1">-I296*I291</f>
        <v>-54197.394945855485</v>
      </c>
      <c r="J293" s="81">
        <f ca="1">-J296*J291</f>
        <v>-58387.36628413041</v>
      </c>
      <c r="K293" s="81">
        <f ca="1">-K296*K291</f>
        <v>-62683.847276546003</v>
      </c>
      <c r="L293" s="81">
        <f ca="1">-L296*L291</f>
        <v>-68394.278886925953</v>
      </c>
      <c r="Q293" s="12"/>
    </row>
    <row r="294" spans="2:17" x14ac:dyDescent="0.3">
      <c r="C294" s="85" t="s">
        <v>181</v>
      </c>
      <c r="D294" s="85">
        <f t="shared" ref="D294:F294" si="126">SUM(D291:D293)</f>
        <v>178253</v>
      </c>
      <c r="E294" s="85">
        <f t="shared" si="126"/>
        <v>153374</v>
      </c>
      <c r="F294" s="49">
        <f t="shared" si="126"/>
        <v>171085</v>
      </c>
      <c r="G294" s="49">
        <f t="shared" ref="G294:L294" si="127">SUM(G291:G293)</f>
        <v>248239</v>
      </c>
      <c r="H294" s="49">
        <f t="shared" ca="1" si="127"/>
        <v>253310.92694766333</v>
      </c>
      <c r="I294" s="49">
        <f t="shared" ca="1" si="127"/>
        <v>273546.67797818687</v>
      </c>
      <c r="J294" s="49">
        <f t="shared" ca="1" si="127"/>
        <v>294379.61482382991</v>
      </c>
      <c r="K294" s="49">
        <f t="shared" ca="1" si="127"/>
        <v>321968.87318068411</v>
      </c>
      <c r="L294" s="85">
        <f t="shared" ca="1" si="127"/>
        <v>357890.78467519063</v>
      </c>
      <c r="Q294" s="12"/>
    </row>
    <row r="295" spans="2:17" x14ac:dyDescent="0.3">
      <c r="C295" s="23"/>
      <c r="D295" s="23"/>
      <c r="E295" s="12"/>
      <c r="F295" s="12"/>
      <c r="G295" s="12"/>
      <c r="H295" s="12"/>
      <c r="I295" s="12"/>
      <c r="J295" s="12"/>
      <c r="K295" s="12"/>
      <c r="L295" s="12"/>
      <c r="Q295" s="12"/>
    </row>
    <row r="296" spans="2:17" x14ac:dyDescent="0.3">
      <c r="C296" s="23" t="s">
        <v>184</v>
      </c>
      <c r="D296" s="78">
        <f>-D293/D291</f>
        <v>0.23264756882716217</v>
      </c>
      <c r="E296" s="78">
        <f>-E293/E291</f>
        <v>0.24488591889902683</v>
      </c>
      <c r="F296" s="78">
        <f>-F293/F291</f>
        <v>0.20491980459124118</v>
      </c>
      <c r="G296" s="78">
        <f>-G293/G291</f>
        <v>0.16254690650748502</v>
      </c>
      <c r="H296" s="79">
        <f>AVERAGE(E296:G296)</f>
        <v>0.20411754333258436</v>
      </c>
      <c r="I296" s="79">
        <f>H296</f>
        <v>0.20411754333258436</v>
      </c>
      <c r="J296" s="79">
        <f t="shared" ref="J296:L296" si="128">I296</f>
        <v>0.20411754333258436</v>
      </c>
      <c r="K296" s="79">
        <f t="shared" si="128"/>
        <v>0.20411754333258436</v>
      </c>
      <c r="L296" s="79">
        <f t="shared" si="128"/>
        <v>0.20411754333258436</v>
      </c>
      <c r="Q296" s="12"/>
    </row>
    <row r="297" spans="2:17" x14ac:dyDescent="0.3">
      <c r="C297" s="46"/>
      <c r="D297" s="11"/>
      <c r="E297" s="11"/>
      <c r="F297" s="11"/>
      <c r="G297" s="11"/>
      <c r="H297" s="11"/>
      <c r="I297" s="11"/>
      <c r="J297" s="11"/>
      <c r="K297" s="11"/>
      <c r="L297" s="11"/>
      <c r="Q297" s="12"/>
    </row>
    <row r="298" spans="2:17" x14ac:dyDescent="0.3">
      <c r="C298" s="28" t="s">
        <v>180</v>
      </c>
      <c r="D298" s="78">
        <f>-D299/D294</f>
        <v>5.1544714534958735E-2</v>
      </c>
      <c r="E298" s="78">
        <f>-E299/E294</f>
        <v>5.5843884882705024E-2</v>
      </c>
      <c r="F298" s="78">
        <f t="shared" ref="F298:G298" si="129">-F299/F294</f>
        <v>5.9818219013940438E-2</v>
      </c>
      <c r="G298" s="78">
        <f t="shared" si="129"/>
        <v>4.983100963184673E-2</v>
      </c>
      <c r="H298" s="79">
        <v>4.82E-2</v>
      </c>
      <c r="I298" s="79">
        <v>4.5699999999999998E-2</v>
      </c>
      <c r="J298" s="79">
        <v>4.3200000000000002E-2</v>
      </c>
      <c r="K298" s="79">
        <v>4.07E-2</v>
      </c>
      <c r="L298" s="79">
        <f t="shared" ref="L298" si="130">K298</f>
        <v>4.07E-2</v>
      </c>
      <c r="O298" s="12"/>
      <c r="Q298" s="12"/>
    </row>
    <row r="299" spans="2:17" x14ac:dyDescent="0.3">
      <c r="C299" s="86" t="s">
        <v>183</v>
      </c>
      <c r="D299" s="85">
        <f>D28</f>
        <v>-9188</v>
      </c>
      <c r="E299" s="85">
        <f>E28</f>
        <v>-8565</v>
      </c>
      <c r="F299" s="85">
        <f>F28</f>
        <v>-10234</v>
      </c>
      <c r="G299" s="49">
        <f>G28</f>
        <v>-12370</v>
      </c>
      <c r="H299" s="49">
        <f ca="1">IF($D$5=1,-H298*H294,0)</f>
        <v>-12209.586678877373</v>
      </c>
      <c r="I299" s="49">
        <f ca="1">IF($D$5=1,-I298*I294,0)</f>
        <v>-12501.083183603139</v>
      </c>
      <c r="J299" s="49">
        <f t="shared" ref="J299:L299" ca="1" si="131">IF($D$5=1,-J298*J294,0)</f>
        <v>-12717.199360389453</v>
      </c>
      <c r="K299" s="49">
        <f t="shared" ca="1" si="131"/>
        <v>-13104.133138453843</v>
      </c>
      <c r="L299" s="49">
        <f t="shared" ca="1" si="131"/>
        <v>-14566.154936280258</v>
      </c>
      <c r="Q299" s="12"/>
    </row>
    <row r="300" spans="2:17" x14ac:dyDescent="0.3">
      <c r="C300" s="56" t="s">
        <v>182</v>
      </c>
      <c r="D300" s="11">
        <f>D77</f>
        <v>171194</v>
      </c>
      <c r="E300" s="11">
        <f>E77</f>
        <v>161917</v>
      </c>
      <c r="F300" s="11">
        <f>F77</f>
        <v>224649</v>
      </c>
      <c r="G300" s="11">
        <f>G77</f>
        <v>238758</v>
      </c>
      <c r="H300" s="11">
        <f ca="1">H294-H299</f>
        <v>265520.51362654072</v>
      </c>
      <c r="I300" s="11">
        <f ca="1">I294-I299</f>
        <v>286047.76116179</v>
      </c>
      <c r="J300" s="11">
        <f ca="1">J294-J299</f>
        <v>307096.81418421934</v>
      </c>
      <c r="K300" s="11">
        <f ca="1">K294-K299</f>
        <v>335073.00631913793</v>
      </c>
      <c r="L300" s="11">
        <f ca="1">L294-L299</f>
        <v>372456.93961147091</v>
      </c>
      <c r="Q300" s="12"/>
    </row>
    <row r="301" spans="2:17" x14ac:dyDescent="0.3">
      <c r="C301" s="56"/>
      <c r="D301" s="56"/>
      <c r="E301" s="11"/>
      <c r="F301" s="11"/>
      <c r="G301" s="11"/>
      <c r="H301" s="11"/>
      <c r="I301" s="11"/>
      <c r="J301" s="11"/>
      <c r="K301" s="11"/>
      <c r="L301" s="11"/>
      <c r="Q301" s="12"/>
    </row>
    <row r="302" spans="2:17" x14ac:dyDescent="0.3">
      <c r="C302" s="56"/>
      <c r="D302" s="56"/>
      <c r="E302" s="11"/>
      <c r="F302" s="11"/>
      <c r="G302" s="11"/>
      <c r="H302" s="11"/>
      <c r="I302" s="11"/>
      <c r="J302" s="11"/>
      <c r="K302" s="11"/>
      <c r="L302" s="142" t="str">
        <f>UPPER("Active scenario: "&amp;'Scenario Analysis'!$D$3)</f>
        <v>ACTIVE SCENARIO: BASE CASE</v>
      </c>
      <c r="Q302" s="12"/>
    </row>
    <row r="303" spans="2:17" x14ac:dyDescent="0.3">
      <c r="B303" t="s">
        <v>7</v>
      </c>
      <c r="C303" s="54" t="s">
        <v>153</v>
      </c>
      <c r="D303" s="197"/>
    </row>
    <row r="304" spans="2:17" x14ac:dyDescent="0.3">
      <c r="C304" t="str">
        <f t="shared" ref="C304:L304" si="132">C12</f>
        <v>Fiscal year</v>
      </c>
      <c r="D304" s="6">
        <f t="shared" si="132"/>
        <v>2020</v>
      </c>
      <c r="E304" s="6">
        <f t="shared" si="132"/>
        <v>2021</v>
      </c>
      <c r="F304" s="6">
        <f t="shared" si="132"/>
        <v>2022</v>
      </c>
      <c r="G304" s="6">
        <f t="shared" si="132"/>
        <v>2023</v>
      </c>
      <c r="H304" s="7">
        <f t="shared" si="132"/>
        <v>2024</v>
      </c>
      <c r="I304" s="7">
        <f t="shared" si="132"/>
        <v>2025</v>
      </c>
      <c r="J304" s="7">
        <f t="shared" si="132"/>
        <v>2026</v>
      </c>
      <c r="K304" s="7">
        <f t="shared" si="132"/>
        <v>2027</v>
      </c>
      <c r="L304" s="7">
        <f t="shared" si="132"/>
        <v>2028</v>
      </c>
      <c r="N304" s="146" t="s">
        <v>26</v>
      </c>
    </row>
    <row r="305" spans="3:14" x14ac:dyDescent="0.3">
      <c r="C305" s="8" t="str">
        <f t="shared" ref="C305:L305" si="133">C13</f>
        <v>Fiscal year end date</v>
      </c>
      <c r="D305" s="9">
        <f t="shared" si="133"/>
        <v>44196</v>
      </c>
      <c r="E305" s="9">
        <f t="shared" si="133"/>
        <v>44561</v>
      </c>
      <c r="F305" s="9">
        <f t="shared" si="133"/>
        <v>44926</v>
      </c>
      <c r="G305" s="9">
        <f t="shared" si="133"/>
        <v>45291</v>
      </c>
      <c r="H305" s="9">
        <f t="shared" si="133"/>
        <v>45657</v>
      </c>
      <c r="I305" s="9">
        <f t="shared" si="133"/>
        <v>46022</v>
      </c>
      <c r="J305" s="9">
        <f t="shared" si="133"/>
        <v>46387</v>
      </c>
      <c r="K305" s="9">
        <f t="shared" si="133"/>
        <v>46752</v>
      </c>
      <c r="L305" s="9">
        <f t="shared" si="133"/>
        <v>47118</v>
      </c>
      <c r="N305" s="19" t="s">
        <v>27</v>
      </c>
    </row>
    <row r="307" spans="3:14" x14ac:dyDescent="0.3">
      <c r="C307" s="2" t="s">
        <v>115</v>
      </c>
      <c r="D307" s="34" t="s">
        <v>82</v>
      </c>
      <c r="E307" s="34"/>
      <c r="F307" s="33"/>
      <c r="G307" s="33"/>
      <c r="H307" s="34" t="s">
        <v>83</v>
      </c>
      <c r="I307" s="33"/>
      <c r="J307" s="33"/>
      <c r="K307" s="33"/>
      <c r="L307" s="33"/>
    </row>
    <row r="308" spans="3:14" x14ac:dyDescent="0.3">
      <c r="C308" s="23" t="s">
        <v>143</v>
      </c>
      <c r="D308" s="23"/>
      <c r="H308" s="12">
        <f>G311</f>
        <v>949806</v>
      </c>
      <c r="I308" s="12">
        <f t="shared" ref="I308:L308" ca="1" si="134">H311</f>
        <v>1037030.6802085589</v>
      </c>
      <c r="J308" s="12">
        <f t="shared" ca="1" si="134"/>
        <v>1136399.8519763965</v>
      </c>
      <c r="K308" s="12">
        <f t="shared" ca="1" si="134"/>
        <v>1251725.5883469891</v>
      </c>
      <c r="L308" s="12">
        <f t="shared" ca="1" si="134"/>
        <v>1400029.2147374291</v>
      </c>
    </row>
    <row r="309" spans="3:14" x14ac:dyDescent="0.3">
      <c r="C309" s="28" t="s">
        <v>144</v>
      </c>
      <c r="D309" s="12">
        <f t="shared" ref="D309:L309" si="135">D35</f>
        <v>280333</v>
      </c>
      <c r="E309" s="12">
        <f t="shared" si="135"/>
        <v>292569</v>
      </c>
      <c r="F309" s="12">
        <f t="shared" si="135"/>
        <v>262896</v>
      </c>
      <c r="G309" s="12">
        <f t="shared" si="135"/>
        <v>327770</v>
      </c>
      <c r="H309" s="12">
        <f t="shared" ca="1" si="135"/>
        <v>365748.93402852985</v>
      </c>
      <c r="I309" s="12">
        <f t="shared" ca="1" si="135"/>
        <v>283911.91933667898</v>
      </c>
      <c r="J309" s="12">
        <f t="shared" ca="1" si="135"/>
        <v>329502.1039159791</v>
      </c>
      <c r="K309" s="12">
        <f t="shared" ca="1" si="135"/>
        <v>423724.64682984736</v>
      </c>
      <c r="L309" s="12">
        <f t="shared" ca="1" si="135"/>
        <v>515648.07095339161</v>
      </c>
    </row>
    <row r="310" spans="3:14" x14ac:dyDescent="0.3">
      <c r="C310" s="47" t="s">
        <v>145</v>
      </c>
      <c r="D310" s="48">
        <v>-197965</v>
      </c>
      <c r="E310" s="48">
        <v>-181715</v>
      </c>
      <c r="F310" s="48">
        <v>-191061</v>
      </c>
      <c r="G310" s="48">
        <v>-197524</v>
      </c>
      <c r="H310" s="85">
        <f ca="1">-H313*(H309-H34)-H34</f>
        <v>-278524.25381997088</v>
      </c>
      <c r="I310" s="49">
        <f ca="1">-I313*I309</f>
        <v>-184542.74756884135</v>
      </c>
      <c r="J310" s="49">
        <f ca="1">-J313*J309</f>
        <v>-214176.36754538643</v>
      </c>
      <c r="K310" s="49">
        <f ca="1">-K313*K309</f>
        <v>-275421.0204394008</v>
      </c>
      <c r="L310" s="49">
        <f ca="1">-L313*L309</f>
        <v>-335171.24611970456</v>
      </c>
    </row>
    <row r="311" spans="3:14" x14ac:dyDescent="0.3">
      <c r="C311" s="2" t="s">
        <v>75</v>
      </c>
      <c r="D311" s="11">
        <f>D84</f>
        <v>779645</v>
      </c>
      <c r="E311" s="11">
        <f>E84</f>
        <v>943198</v>
      </c>
      <c r="F311" s="11">
        <f>F84</f>
        <v>1056642</v>
      </c>
      <c r="G311" s="11">
        <f>G84</f>
        <v>949806</v>
      </c>
      <c r="H311" s="52">
        <f ca="1">SUM(H308:H310)</f>
        <v>1037030.6802085589</v>
      </c>
      <c r="I311" s="52">
        <f ca="1">SUM(I308:I310)</f>
        <v>1136399.8519763965</v>
      </c>
      <c r="J311" s="52">
        <f ca="1">SUM(J308:J310)</f>
        <v>1251725.5883469894</v>
      </c>
      <c r="K311" s="52">
        <f ca="1">SUM(K308:K310)</f>
        <v>1400029.2147374358</v>
      </c>
      <c r="L311" s="52">
        <f ca="1">SUM(L308:L310)</f>
        <v>1580506.0395711162</v>
      </c>
    </row>
    <row r="313" spans="3:14" x14ac:dyDescent="0.3">
      <c r="C313" s="23" t="s">
        <v>156</v>
      </c>
      <c r="D313" s="22">
        <f>-D310/D309</f>
        <v>0.70617800972414946</v>
      </c>
      <c r="E313" s="22">
        <f>-E310/E309</f>
        <v>0.62110134703266584</v>
      </c>
      <c r="F313" s="22">
        <f>-F310/F309</f>
        <v>0.72675506664232248</v>
      </c>
      <c r="G313" s="22">
        <f>-G310/G309</f>
        <v>0.60262989291271318</v>
      </c>
      <c r="H313" s="64">
        <v>0.7</v>
      </c>
      <c r="I313" s="64">
        <v>0.65</v>
      </c>
      <c r="J313" s="64">
        <v>0.65</v>
      </c>
      <c r="K313" s="64">
        <v>0.65</v>
      </c>
      <c r="L313" s="64">
        <v>0.65</v>
      </c>
    </row>
    <row r="314" spans="3:14" x14ac:dyDescent="0.3">
      <c r="C314" s="23" t="s">
        <v>342</v>
      </c>
      <c r="D314" s="157">
        <f t="shared" ref="D314:G314" si="136">-D310/D387</f>
        <v>1.9435172544453594</v>
      </c>
      <c r="E314" s="157">
        <f t="shared" si="136"/>
        <v>1.7765271311812016</v>
      </c>
      <c r="F314" s="157">
        <f t="shared" si="136"/>
        <v>1.8570889021206618</v>
      </c>
      <c r="G314" s="157">
        <f t="shared" si="136"/>
        <v>1.9158391206872245</v>
      </c>
      <c r="H314" s="157">
        <f ca="1">MAX(0,-H310/H387)</f>
        <v>2.6647547888058436</v>
      </c>
      <c r="I314" s="157">
        <f t="shared" ref="I314:L314" ca="1" si="137">MAX(0,-I310/I387)</f>
        <v>1.7514399061189845</v>
      </c>
      <c r="J314" s="157">
        <f t="shared" ca="1" si="137"/>
        <v>2.0152242906706443</v>
      </c>
      <c r="K314" s="157">
        <f t="shared" ca="1" si="137"/>
        <v>2.5736662898001601</v>
      </c>
      <c r="L314" s="157">
        <f t="shared" ca="1" si="137"/>
        <v>3.1175234522179931</v>
      </c>
      <c r="N314" s="117">
        <f ca="1">((L314/G314)^(1/(COUNTA(H304:L304)))-1)</f>
        <v>0.10227545901598556</v>
      </c>
    </row>
    <row r="315" spans="3:14" x14ac:dyDescent="0.3">
      <c r="C315" s="23" t="s">
        <v>352</v>
      </c>
      <c r="D315" s="117">
        <f ca="1">D314/_xlfn.XLOOKUP(D304,'Share Price Data'!1:1,'Share Price Data'!3:3)</f>
        <v>4.6925014739574902E-2</v>
      </c>
      <c r="E315" s="117">
        <f ca="1">E314/_xlfn.XLOOKUP(E304,'Share Price Data'!1:1,'Share Price Data'!3:3)</f>
        <v>5.1231330843050947E-2</v>
      </c>
      <c r="F315" s="117">
        <f ca="1">F314/_xlfn.XLOOKUP(F304,'Share Price Data'!1:1,'Share Price Data'!3:3)</f>
        <v>7.4007797846624368E-2</v>
      </c>
      <c r="G315" s="117">
        <f ca="1">G314/_xlfn.XLOOKUP(G304,'Share Price Data'!1:1,'Share Price Data'!3:3)</f>
        <v>8.1126644742672532E-2</v>
      </c>
      <c r="H315" s="157"/>
      <c r="I315" s="117"/>
      <c r="J315" s="117"/>
      <c r="K315" s="117"/>
      <c r="L315" s="157"/>
      <c r="N315" s="117"/>
    </row>
    <row r="316" spans="3:14" x14ac:dyDescent="0.3">
      <c r="C316" s="23"/>
      <c r="D316" s="210"/>
      <c r="E316" s="210"/>
      <c r="F316" s="210"/>
      <c r="G316" s="210"/>
      <c r="H316" s="117"/>
      <c r="I316" s="117"/>
      <c r="J316" s="117"/>
      <c r="K316" s="117"/>
      <c r="L316" s="117"/>
    </row>
    <row r="317" spans="3:14" x14ac:dyDescent="0.3">
      <c r="C317" s="28"/>
      <c r="D317" s="28"/>
      <c r="E317" s="28"/>
      <c r="F317" s="28"/>
      <c r="G317" s="28"/>
      <c r="H317" s="22"/>
      <c r="I317" s="22"/>
      <c r="J317" s="22"/>
      <c r="K317" s="22"/>
      <c r="L317" s="22"/>
    </row>
    <row r="318" spans="3:14" x14ac:dyDescent="0.3">
      <c r="C318" s="56" t="s">
        <v>157</v>
      </c>
      <c r="D318" s="34" t="s">
        <v>82</v>
      </c>
      <c r="E318" s="34"/>
      <c r="F318" s="33"/>
      <c r="G318" s="33"/>
      <c r="H318" s="34" t="s">
        <v>83</v>
      </c>
      <c r="I318" s="33"/>
      <c r="J318" s="33"/>
      <c r="K318" s="33"/>
      <c r="L318" s="33"/>
    </row>
    <row r="319" spans="3:14" x14ac:dyDescent="0.3">
      <c r="C319" s="23" t="s">
        <v>143</v>
      </c>
      <c r="D319" s="23"/>
      <c r="E319" s="59"/>
      <c r="H319" s="57">
        <f>G321</f>
        <v>-1357</v>
      </c>
      <c r="I319" s="57">
        <f t="shared" ref="I319:L319" si="138">H321</f>
        <v>-1358.3333333333333</v>
      </c>
      <c r="J319" s="57">
        <f t="shared" si="138"/>
        <v>-1359.6666666666665</v>
      </c>
      <c r="K319" s="57">
        <f t="shared" si="138"/>
        <v>-1360.9999999999998</v>
      </c>
      <c r="L319" s="57">
        <f t="shared" si="138"/>
        <v>-1362.333333333333</v>
      </c>
    </row>
    <row r="320" spans="3:14" x14ac:dyDescent="0.3">
      <c r="C320" s="47" t="s">
        <v>155</v>
      </c>
      <c r="D320" s="48">
        <f>-925-555</f>
        <v>-1480</v>
      </c>
      <c r="E320" s="48">
        <f>85-511</f>
        <v>-426</v>
      </c>
      <c r="F320" s="48">
        <f>-41-39</f>
        <v>-80</v>
      </c>
      <c r="G320" s="48">
        <v>502</v>
      </c>
      <c r="H320" s="48">
        <f>AVERAGE(E320:G320)</f>
        <v>-1.3333333333333333</v>
      </c>
      <c r="I320" s="48">
        <f>H320</f>
        <v>-1.3333333333333333</v>
      </c>
      <c r="J320" s="48">
        <f t="shared" ref="J320:L320" si="139">I320</f>
        <v>-1.3333333333333333</v>
      </c>
      <c r="K320" s="48">
        <f t="shared" si="139"/>
        <v>-1.3333333333333333</v>
      </c>
      <c r="L320" s="48">
        <f t="shared" si="139"/>
        <v>-1.3333333333333333</v>
      </c>
    </row>
    <row r="321" spans="3:14" x14ac:dyDescent="0.3">
      <c r="C321" s="46" t="s">
        <v>75</v>
      </c>
      <c r="D321" s="58">
        <f>D85</f>
        <v>-2034</v>
      </c>
      <c r="E321" s="58">
        <f>E85</f>
        <v>-1949</v>
      </c>
      <c r="F321" s="58">
        <f>F85</f>
        <v>-1990</v>
      </c>
      <c r="G321" s="58">
        <f>G85</f>
        <v>-1357</v>
      </c>
      <c r="H321" s="58">
        <f t="shared" ref="H321:L321" si="140">SUM(H319:H320)</f>
        <v>-1358.3333333333333</v>
      </c>
      <c r="I321" s="58">
        <f t="shared" si="140"/>
        <v>-1359.6666666666665</v>
      </c>
      <c r="J321" s="58">
        <f t="shared" si="140"/>
        <v>-1360.9999999999998</v>
      </c>
      <c r="K321" s="58">
        <f t="shared" si="140"/>
        <v>-1362.333333333333</v>
      </c>
      <c r="L321" s="58">
        <f t="shared" si="140"/>
        <v>-1363.6666666666663</v>
      </c>
    </row>
    <row r="322" spans="3:14" x14ac:dyDescent="0.3">
      <c r="C322" s="56"/>
      <c r="D322" s="56"/>
      <c r="E322" s="58"/>
      <c r="F322" s="58"/>
      <c r="G322" s="58"/>
      <c r="H322" s="58"/>
      <c r="I322" s="58"/>
      <c r="J322" s="58"/>
      <c r="K322" s="58"/>
      <c r="L322" s="58"/>
    </row>
    <row r="323" spans="3:14" x14ac:dyDescent="0.3">
      <c r="C323" s="2" t="s">
        <v>154</v>
      </c>
      <c r="D323" s="34" t="s">
        <v>82</v>
      </c>
      <c r="E323" s="34"/>
      <c r="F323" s="33"/>
      <c r="G323" s="33"/>
      <c r="H323" s="34" t="s">
        <v>83</v>
      </c>
      <c r="I323" s="33"/>
      <c r="J323" s="33"/>
      <c r="K323" s="33"/>
      <c r="L323" s="33"/>
    </row>
    <row r="324" spans="3:14" x14ac:dyDescent="0.3">
      <c r="C324" s="23" t="s">
        <v>143</v>
      </c>
      <c r="D324" s="23"/>
      <c r="E324" s="59"/>
      <c r="F324" s="10"/>
      <c r="G324" s="10"/>
      <c r="H324" s="57">
        <f>G327</f>
        <v>1682908</v>
      </c>
      <c r="I324" s="57">
        <f t="shared" ref="I324:L324" ca="1" si="141">H327</f>
        <v>1699266.0845967827</v>
      </c>
      <c r="J324" s="57">
        <f t="shared" ca="1" si="141"/>
        <v>1715921.9585325541</v>
      </c>
      <c r="K324" s="57">
        <f t="shared" ca="1" si="141"/>
        <v>1733405.0296900549</v>
      </c>
      <c r="L324" s="57">
        <f t="shared" ca="1" si="141"/>
        <v>1749084.5210428813</v>
      </c>
    </row>
    <row r="325" spans="3:14" x14ac:dyDescent="0.3">
      <c r="C325" s="28" t="s">
        <v>29</v>
      </c>
      <c r="D325" s="59">
        <v>8799</v>
      </c>
      <c r="E325" s="59">
        <v>4386</v>
      </c>
      <c r="F325" s="10">
        <v>18136</v>
      </c>
      <c r="G325" s="10">
        <v>8666</v>
      </c>
      <c r="H325" s="186">
        <f ca="1">H37</f>
        <v>12358.084596782679</v>
      </c>
      <c r="I325" s="186">
        <f ca="1">I37</f>
        <v>12155.873935771291</v>
      </c>
      <c r="J325" s="186">
        <f ca="1">J37</f>
        <v>12983.071157500897</v>
      </c>
      <c r="K325" s="186">
        <f ca="1">K37</f>
        <v>10679.491352826275</v>
      </c>
      <c r="L325" s="186">
        <f ca="1">L37</f>
        <v>7283.1836373650785</v>
      </c>
    </row>
    <row r="326" spans="3:14" x14ac:dyDescent="0.3">
      <c r="C326" s="47" t="s">
        <v>155</v>
      </c>
      <c r="D326" s="48">
        <f>4316+113770</f>
        <v>118086</v>
      </c>
      <c r="E326" s="48">
        <f>3806+-5167+101327+-147993</f>
        <v>-48027</v>
      </c>
      <c r="F326" s="48">
        <f>520-5+2884</f>
        <v>3399</v>
      </c>
      <c r="G326" s="48">
        <v>4096</v>
      </c>
      <c r="H326" s="48">
        <v>4000</v>
      </c>
      <c r="I326" s="48">
        <v>4500</v>
      </c>
      <c r="J326" s="48">
        <v>4500</v>
      </c>
      <c r="K326" s="48">
        <v>5000</v>
      </c>
      <c r="L326" s="48">
        <v>5000</v>
      </c>
    </row>
    <row r="327" spans="3:14" x14ac:dyDescent="0.3">
      <c r="C327" s="46" t="s">
        <v>75</v>
      </c>
      <c r="D327" s="58">
        <f>D83</f>
        <v>1723440</v>
      </c>
      <c r="E327" s="58">
        <f>E83</f>
        <v>1675413</v>
      </c>
      <c r="F327" s="58">
        <f>F83</f>
        <v>1678812</v>
      </c>
      <c r="G327" s="58">
        <f>G83</f>
        <v>1682908</v>
      </c>
      <c r="H327" s="58">
        <f ca="1">SUM(H324:H326)</f>
        <v>1699266.0845967827</v>
      </c>
      <c r="I327" s="58">
        <f t="shared" ref="I327:L327" ca="1" si="142">SUM(I324:I326)</f>
        <v>1715921.9585325541</v>
      </c>
      <c r="J327" s="58">
        <f t="shared" ca="1" si="142"/>
        <v>1733405.0296900549</v>
      </c>
      <c r="K327" s="58">
        <f t="shared" ca="1" si="142"/>
        <v>1749084.5210428813</v>
      </c>
      <c r="L327" s="58">
        <f t="shared" ca="1" si="142"/>
        <v>1761367.7046802463</v>
      </c>
    </row>
    <row r="329" spans="3:14" x14ac:dyDescent="0.3">
      <c r="C329" s="56" t="s">
        <v>47</v>
      </c>
      <c r="D329" s="34" t="s">
        <v>82</v>
      </c>
      <c r="E329" s="34"/>
      <c r="F329" s="33"/>
      <c r="G329" s="33"/>
      <c r="H329" s="34" t="s">
        <v>83</v>
      </c>
      <c r="I329" s="33"/>
      <c r="J329" s="33"/>
      <c r="K329" s="33"/>
      <c r="L329" s="33"/>
    </row>
    <row r="330" spans="3:14" x14ac:dyDescent="0.3">
      <c r="C330" s="23" t="s">
        <v>143</v>
      </c>
      <c r="D330" s="23"/>
      <c r="E330" s="58"/>
      <c r="F330" s="58"/>
      <c r="G330" s="58"/>
      <c r="H330" s="60">
        <f>G335</f>
        <v>131588</v>
      </c>
      <c r="I330" s="60">
        <f t="shared" ref="I330:L330" ca="1" si="143">H335</f>
        <v>131916</v>
      </c>
      <c r="J330" s="60">
        <f t="shared" ca="1" si="143"/>
        <v>132244</v>
      </c>
      <c r="K330" s="60">
        <f t="shared" ca="1" si="143"/>
        <v>132572</v>
      </c>
      <c r="L330" s="60">
        <f t="shared" ca="1" si="143"/>
        <v>132900</v>
      </c>
    </row>
    <row r="331" spans="3:14" x14ac:dyDescent="0.3">
      <c r="C331" s="28" t="s">
        <v>444</v>
      </c>
      <c r="D331" s="60">
        <f t="shared" ref="D331:L331" si="144">D33</f>
        <v>16571</v>
      </c>
      <c r="E331" s="60">
        <f t="shared" si="144"/>
        <v>12170</v>
      </c>
      <c r="F331" s="60">
        <f t="shared" si="144"/>
        <v>9007</v>
      </c>
      <c r="G331" s="60">
        <f t="shared" si="144"/>
        <v>13319</v>
      </c>
      <c r="H331" s="60">
        <f t="shared" ca="1" si="144"/>
        <v>11814.641524013756</v>
      </c>
      <c r="I331" s="60">
        <f t="shared" ca="1" si="144"/>
        <v>11536.818054261303</v>
      </c>
      <c r="J331" s="60">
        <f t="shared" ca="1" si="144"/>
        <v>13389.384391667711</v>
      </c>
      <c r="K331" s="60">
        <f t="shared" ca="1" si="144"/>
        <v>17218.13641006418</v>
      </c>
      <c r="L331" s="60">
        <f t="shared" ca="1" si="144"/>
        <v>20953.46327311292</v>
      </c>
      <c r="N331" s="12"/>
    </row>
    <row r="332" spans="3:14" x14ac:dyDescent="0.3">
      <c r="C332" s="28" t="s">
        <v>29</v>
      </c>
      <c r="D332" s="59">
        <v>0</v>
      </c>
      <c r="E332" s="59">
        <v>0</v>
      </c>
      <c r="F332" s="59">
        <v>3171</v>
      </c>
      <c r="G332" s="59">
        <v>0</v>
      </c>
      <c r="H332" s="59">
        <v>0</v>
      </c>
      <c r="I332" s="59">
        <v>0</v>
      </c>
      <c r="J332" s="59">
        <v>0</v>
      </c>
      <c r="K332" s="59">
        <v>0</v>
      </c>
      <c r="L332" s="59">
        <v>0</v>
      </c>
      <c r="N332" s="12"/>
    </row>
    <row r="333" spans="3:14" x14ac:dyDescent="0.3">
      <c r="C333" s="28" t="s">
        <v>155</v>
      </c>
      <c r="D333" s="59">
        <v>-795</v>
      </c>
      <c r="E333" s="59">
        <v>0</v>
      </c>
      <c r="F333" s="59">
        <v>372</v>
      </c>
      <c r="G333" s="59">
        <v>1736</v>
      </c>
      <c r="H333" s="59">
        <v>328</v>
      </c>
      <c r="I333" s="59">
        <v>328</v>
      </c>
      <c r="J333" s="59">
        <v>328</v>
      </c>
      <c r="K333" s="59">
        <v>328</v>
      </c>
      <c r="L333" s="59">
        <v>328</v>
      </c>
      <c r="N333" s="12"/>
    </row>
    <row r="334" spans="3:14" x14ac:dyDescent="0.3">
      <c r="C334" s="47" t="s">
        <v>445</v>
      </c>
      <c r="D334" s="48">
        <v>-12007</v>
      </c>
      <c r="E334" s="48">
        <v>-12684</v>
      </c>
      <c r="F334" s="48">
        <v>-11219</v>
      </c>
      <c r="G334" s="48">
        <v>-13985</v>
      </c>
      <c r="H334" s="85">
        <f ca="1">-H331*H337</f>
        <v>-11814.641524013756</v>
      </c>
      <c r="I334" s="85">
        <f ca="1">-I331*I337</f>
        <v>-11536.818054261303</v>
      </c>
      <c r="J334" s="85">
        <f ca="1">-J331*J337</f>
        <v>-13389.384391667711</v>
      </c>
      <c r="K334" s="85">
        <f ca="1">-K331*K337</f>
        <v>-17218.13641006418</v>
      </c>
      <c r="L334" s="85">
        <f ca="1">-L331*L337</f>
        <v>-20953.46327311292</v>
      </c>
    </row>
    <row r="335" spans="3:14" x14ac:dyDescent="0.3">
      <c r="C335" s="46" t="s">
        <v>75</v>
      </c>
      <c r="D335" s="209">
        <f>D86</f>
        <v>119282</v>
      </c>
      <c r="E335" s="209">
        <f>E86</f>
        <v>119703</v>
      </c>
      <c r="F335" s="209">
        <f>F86</f>
        <v>126826</v>
      </c>
      <c r="G335" s="209">
        <f>G86</f>
        <v>131588</v>
      </c>
      <c r="H335" s="58">
        <f ca="1">SUM(H330:H334)</f>
        <v>131916</v>
      </c>
      <c r="I335" s="58">
        <f ca="1">SUM(I330:I334)</f>
        <v>132244</v>
      </c>
      <c r="J335" s="58">
        <f ca="1">SUM(J330:J334)</f>
        <v>132572</v>
      </c>
      <c r="K335" s="58">
        <f ca="1">SUM(K330:K334)</f>
        <v>132900</v>
      </c>
      <c r="L335" s="58">
        <f ca="1">SUM(L330:L334)</f>
        <v>133228</v>
      </c>
    </row>
    <row r="336" spans="3:14" x14ac:dyDescent="0.3">
      <c r="C336" s="28"/>
      <c r="D336" s="28"/>
      <c r="E336" s="59"/>
      <c r="F336" s="59"/>
      <c r="G336" s="59"/>
      <c r="H336" s="60"/>
      <c r="I336" s="60"/>
      <c r="J336" s="60"/>
      <c r="K336" s="60"/>
      <c r="L336" s="60"/>
    </row>
    <row r="337" spans="2:12" x14ac:dyDescent="0.3">
      <c r="C337" s="23" t="s">
        <v>158</v>
      </c>
      <c r="D337" s="63">
        <f>-D334/D331</f>
        <v>0.72457908394182613</v>
      </c>
      <c r="E337" s="63">
        <f>-E334/E331</f>
        <v>1.0422350041084634</v>
      </c>
      <c r="F337" s="63">
        <f>-F334/F331</f>
        <v>1.2455867658487842</v>
      </c>
      <c r="G337" s="63">
        <f>-G334/G331</f>
        <v>1.0500037540355882</v>
      </c>
      <c r="H337" s="64">
        <v>1</v>
      </c>
      <c r="I337" s="64">
        <v>1</v>
      </c>
      <c r="J337" s="64">
        <v>1</v>
      </c>
      <c r="K337" s="64">
        <v>1</v>
      </c>
      <c r="L337" s="64">
        <v>1</v>
      </c>
    </row>
    <row r="338" spans="2:12" x14ac:dyDescent="0.3">
      <c r="C338" s="23"/>
      <c r="D338" s="23"/>
      <c r="E338" s="63"/>
      <c r="F338" s="63"/>
      <c r="G338" s="63"/>
      <c r="H338" s="64"/>
      <c r="I338" s="64"/>
      <c r="J338" s="64"/>
      <c r="K338" s="64"/>
      <c r="L338" s="64"/>
    </row>
    <row r="339" spans="2:12" x14ac:dyDescent="0.3">
      <c r="L339" s="142" t="str">
        <f>UPPER("Active scenario: "&amp;'Scenario Analysis'!$D$3)</f>
        <v>ACTIVE SCENARIO: BASE CASE</v>
      </c>
    </row>
    <row r="340" spans="2:12" x14ac:dyDescent="0.3">
      <c r="B340" t="s">
        <v>7</v>
      </c>
      <c r="C340" s="55" t="s">
        <v>146</v>
      </c>
      <c r="D340" s="2"/>
    </row>
    <row r="341" spans="2:12" x14ac:dyDescent="0.3">
      <c r="C341" t="str">
        <f t="shared" ref="C341:L341" si="145">C12</f>
        <v>Fiscal year</v>
      </c>
      <c r="D341" s="6">
        <f t="shared" si="145"/>
        <v>2020</v>
      </c>
      <c r="E341" s="6">
        <f t="shared" si="145"/>
        <v>2021</v>
      </c>
      <c r="F341" s="6">
        <f t="shared" si="145"/>
        <v>2022</v>
      </c>
      <c r="G341" s="6">
        <f t="shared" si="145"/>
        <v>2023</v>
      </c>
      <c r="H341" s="7">
        <f t="shared" si="145"/>
        <v>2024</v>
      </c>
      <c r="I341" s="7">
        <f t="shared" si="145"/>
        <v>2025</v>
      </c>
      <c r="J341" s="7">
        <f t="shared" si="145"/>
        <v>2026</v>
      </c>
      <c r="K341" s="7">
        <f t="shared" si="145"/>
        <v>2027</v>
      </c>
      <c r="L341" s="7">
        <f t="shared" si="145"/>
        <v>2028</v>
      </c>
    </row>
    <row r="342" spans="2:12" x14ac:dyDescent="0.3">
      <c r="C342" s="8" t="str">
        <f t="shared" ref="C342:L342" si="146">C13</f>
        <v>Fiscal year end date</v>
      </c>
      <c r="D342" s="9">
        <f t="shared" si="146"/>
        <v>44196</v>
      </c>
      <c r="E342" s="9">
        <f t="shared" si="146"/>
        <v>44561</v>
      </c>
      <c r="F342" s="9">
        <f t="shared" si="146"/>
        <v>44926</v>
      </c>
      <c r="G342" s="9">
        <f t="shared" si="146"/>
        <v>45291</v>
      </c>
      <c r="H342" s="9">
        <f t="shared" si="146"/>
        <v>45657</v>
      </c>
      <c r="I342" s="9">
        <f t="shared" si="146"/>
        <v>46022</v>
      </c>
      <c r="J342" s="9">
        <f t="shared" si="146"/>
        <v>46387</v>
      </c>
      <c r="K342" s="9">
        <f t="shared" si="146"/>
        <v>46752</v>
      </c>
      <c r="L342" s="9">
        <f t="shared" si="146"/>
        <v>47118</v>
      </c>
    </row>
    <row r="343" spans="2:12" x14ac:dyDescent="0.3">
      <c r="C343" s="20" t="s">
        <v>147</v>
      </c>
      <c r="D343" s="20"/>
    </row>
    <row r="344" spans="2:12" x14ac:dyDescent="0.3">
      <c r="C344" s="28" t="s">
        <v>148</v>
      </c>
      <c r="D344" s="28"/>
      <c r="H344" s="12">
        <f>G57</f>
        <v>778358</v>
      </c>
      <c r="I344" s="12">
        <f ca="1">H57</f>
        <v>339618.50306212646</v>
      </c>
      <c r="J344" s="12">
        <f ca="1">I57</f>
        <v>373643.1765620599</v>
      </c>
      <c r="K344" s="12">
        <f ca="1">J57</f>
        <v>247188.93078929075</v>
      </c>
      <c r="L344" s="12">
        <f ca="1">K57</f>
        <v>271095.68921712553</v>
      </c>
    </row>
    <row r="345" spans="2:12" x14ac:dyDescent="0.3">
      <c r="C345" s="28" t="s">
        <v>149</v>
      </c>
      <c r="D345" s="28"/>
      <c r="H345" s="81">
        <f ca="1">-H348*H15</f>
        <v>-139618.50306212634</v>
      </c>
      <c r="I345" s="81">
        <f ca="1">-I348*I15</f>
        <v>-137271.07676457331</v>
      </c>
      <c r="J345" s="81">
        <f ca="1">-J348*J15</f>
        <v>-147188.93078928904</v>
      </c>
      <c r="K345" s="81">
        <f ca="1">-K348*K15</f>
        <v>-171095.68921712213</v>
      </c>
      <c r="L345" s="81">
        <f ca="1">-L348*L15</f>
        <v>-201222.45421210263</v>
      </c>
    </row>
    <row r="346" spans="2:12" x14ac:dyDescent="0.3">
      <c r="C346" s="47" t="s">
        <v>150</v>
      </c>
      <c r="D346" s="47"/>
      <c r="E346" s="39"/>
      <c r="F346" s="39"/>
      <c r="G346" s="39"/>
      <c r="H346" s="49">
        <f ca="1">H112+H117+H119+H122+H123+H125+H126+H121+H124+H127</f>
        <v>-362205.70156518364</v>
      </c>
      <c r="I346" s="49">
        <f t="shared" ref="I346:L346" ca="1" si="147">I112+I117+I119+I122+I123+I125+I126+I121+I124+I127</f>
        <v>83865.878127243617</v>
      </c>
      <c r="J346" s="49">
        <f t="shared" ca="1" si="147"/>
        <v>-96421.836281117066</v>
      </c>
      <c r="K346" s="49">
        <f t="shared" ca="1" si="147"/>
        <v>16894.138869387571</v>
      </c>
      <c r="L346" s="49">
        <f t="shared" ca="1" si="147"/>
        <v>-145251.75785554491</v>
      </c>
    </row>
    <row r="347" spans="2:12" x14ac:dyDescent="0.3">
      <c r="C347" s="46" t="s">
        <v>151</v>
      </c>
      <c r="D347" s="46"/>
      <c r="H347" s="11">
        <f ca="1">SUM(H344:H346)</f>
        <v>276533.79537269002</v>
      </c>
      <c r="I347" s="11">
        <f t="shared" ref="I347:L347" ca="1" si="148">SUM(I344:I346)</f>
        <v>286213.30442479678</v>
      </c>
      <c r="J347" s="11">
        <f t="shared" ca="1" si="148"/>
        <v>130032.4094916538</v>
      </c>
      <c r="K347" s="11">
        <f t="shared" ca="1" si="148"/>
        <v>92987.38044155619</v>
      </c>
      <c r="L347" s="11">
        <f t="shared" ca="1" si="148"/>
        <v>-75378.522850522015</v>
      </c>
    </row>
    <row r="348" spans="2:12" x14ac:dyDescent="0.3">
      <c r="C348" s="28" t="s">
        <v>185</v>
      </c>
      <c r="D348" s="28"/>
      <c r="H348" s="82">
        <v>0.02</v>
      </c>
      <c r="I348" s="82">
        <v>0.02</v>
      </c>
      <c r="J348" s="82">
        <v>0.02</v>
      </c>
      <c r="K348" s="82">
        <v>0.02</v>
      </c>
      <c r="L348" s="82">
        <v>0.02</v>
      </c>
    </row>
    <row r="350" spans="2:12" x14ac:dyDescent="0.3">
      <c r="C350" s="2" t="s">
        <v>159</v>
      </c>
      <c r="D350" s="2"/>
    </row>
    <row r="351" spans="2:12" x14ac:dyDescent="0.3">
      <c r="C351" s="28" t="s">
        <v>143</v>
      </c>
      <c r="D351" s="28"/>
      <c r="H351" s="12">
        <f>G354</f>
        <v>326375</v>
      </c>
      <c r="I351" s="12">
        <f ca="1">H354</f>
        <v>249841.20462730998</v>
      </c>
      <c r="J351" s="12">
        <f ca="1">I354</f>
        <v>200000</v>
      </c>
      <c r="K351" s="12">
        <f ca="1">J354</f>
        <v>169967.59050834563</v>
      </c>
      <c r="L351" s="12">
        <f ca="1">K354</f>
        <v>176980.21006683155</v>
      </c>
    </row>
    <row r="352" spans="2:12" x14ac:dyDescent="0.3">
      <c r="C352" s="65" t="s">
        <v>160</v>
      </c>
      <c r="D352" s="65"/>
      <c r="H352" s="12">
        <f ca="1">-MIN(H347,H351)</f>
        <v>-276533.79537269002</v>
      </c>
      <c r="I352" s="12">
        <f ca="1">-MIN(I347,I351)</f>
        <v>-249841.20462730998</v>
      </c>
      <c r="J352" s="12">
        <f ca="1">-MIN(J347,J351)</f>
        <v>-130032.4094916538</v>
      </c>
      <c r="K352" s="12">
        <f ca="1">-MIN(K347,K351)</f>
        <v>-92987.38044155619</v>
      </c>
      <c r="L352" s="12">
        <f ca="1">-MIN(L347,L351)</f>
        <v>75378.522850522015</v>
      </c>
    </row>
    <row r="353" spans="2:15" x14ac:dyDescent="0.3">
      <c r="C353" s="66" t="s">
        <v>161</v>
      </c>
      <c r="D353" s="66"/>
      <c r="E353" s="39"/>
      <c r="F353" s="39"/>
      <c r="G353" s="39"/>
      <c r="H353" s="48">
        <v>200000</v>
      </c>
      <c r="I353" s="48">
        <v>200000</v>
      </c>
      <c r="J353" s="48">
        <v>100000</v>
      </c>
      <c r="K353" s="48">
        <v>100000</v>
      </c>
      <c r="L353" s="48">
        <v>0</v>
      </c>
      <c r="M353" s="10"/>
    </row>
    <row r="354" spans="2:15" x14ac:dyDescent="0.3">
      <c r="C354" s="46" t="s">
        <v>75</v>
      </c>
      <c r="D354" s="46"/>
      <c r="E354" s="67">
        <f>E73</f>
        <v>278575</v>
      </c>
      <c r="F354" s="67">
        <f>F73</f>
        <v>472337</v>
      </c>
      <c r="G354" s="67">
        <f>G73</f>
        <v>326375</v>
      </c>
      <c r="H354" s="67">
        <f ca="1">SUM(H351:H353)</f>
        <v>249841.20462730998</v>
      </c>
      <c r="I354" s="67">
        <f ca="1">SUM(I351:I353)</f>
        <v>200000</v>
      </c>
      <c r="J354" s="67">
        <f ca="1">SUM(J351:J353)</f>
        <v>169967.59050834621</v>
      </c>
      <c r="K354" s="67">
        <f ca="1">SUM(K351:K353)</f>
        <v>176980.21006678944</v>
      </c>
      <c r="L354" s="67">
        <f ca="1">SUM(L351:L353)</f>
        <v>252358.73291735357</v>
      </c>
    </row>
    <row r="355" spans="2:15" x14ac:dyDescent="0.3">
      <c r="C355" s="68" t="s">
        <v>162</v>
      </c>
      <c r="D355" s="198"/>
      <c r="E355" s="69"/>
      <c r="F355" s="69"/>
      <c r="G355" s="70"/>
      <c r="H355" s="71" t="str">
        <f ca="1">IF(H354&lt;0,"Negative Debt","OK")</f>
        <v>OK</v>
      </c>
      <c r="I355" s="71" t="str">
        <f ca="1">IF(I354&lt;0,"Negative Debt","OK")</f>
        <v>OK</v>
      </c>
      <c r="J355" s="71" t="str">
        <f ca="1">IF(J354&lt;0,"Negative Debt","OK")</f>
        <v>OK</v>
      </c>
      <c r="K355" s="71" t="str">
        <f ca="1">IF(K354&lt;0,"Negative Debt","OK")</f>
        <v>OK</v>
      </c>
      <c r="L355" s="72" t="str">
        <f ca="1">IF(L354&lt;0,"Negative Debt","OK")</f>
        <v>OK</v>
      </c>
    </row>
    <row r="356" spans="2:15" x14ac:dyDescent="0.3">
      <c r="C356" s="87"/>
      <c r="D356" s="87"/>
      <c r="E356" s="12"/>
      <c r="F356" s="12"/>
      <c r="H356" s="88"/>
      <c r="I356" s="88"/>
      <c r="J356" s="88"/>
      <c r="K356" s="88"/>
      <c r="L356" s="88"/>
    </row>
    <row r="357" spans="2:15" x14ac:dyDescent="0.3">
      <c r="C357" s="87"/>
      <c r="D357" s="87"/>
      <c r="E357" s="12"/>
      <c r="F357" s="12"/>
      <c r="H357" s="88"/>
      <c r="I357" s="88"/>
      <c r="J357" s="88"/>
      <c r="K357" s="88"/>
      <c r="L357" s="142" t="str">
        <f>UPPER("Active scenario: "&amp;'Scenario Analysis'!$D$3)</f>
        <v>ACTIVE SCENARIO: BASE CASE</v>
      </c>
    </row>
    <row r="358" spans="2:15" x14ac:dyDescent="0.3">
      <c r="B358" t="s">
        <v>7</v>
      </c>
      <c r="C358" s="55" t="s">
        <v>191</v>
      </c>
      <c r="D358" s="2"/>
    </row>
    <row r="359" spans="2:15" x14ac:dyDescent="0.3">
      <c r="C359" t="str">
        <f t="shared" ref="C359:L359" si="149">C12</f>
        <v>Fiscal year</v>
      </c>
      <c r="D359" s="6">
        <f t="shared" si="149"/>
        <v>2020</v>
      </c>
      <c r="E359" s="6">
        <f t="shared" si="149"/>
        <v>2021</v>
      </c>
      <c r="F359" s="6">
        <f t="shared" si="149"/>
        <v>2022</v>
      </c>
      <c r="G359" s="6">
        <f t="shared" si="149"/>
        <v>2023</v>
      </c>
      <c r="H359" s="7">
        <f t="shared" si="149"/>
        <v>2024</v>
      </c>
      <c r="I359" s="7">
        <f t="shared" si="149"/>
        <v>2025</v>
      </c>
      <c r="J359" s="7">
        <f t="shared" si="149"/>
        <v>2026</v>
      </c>
      <c r="K359" s="7">
        <f t="shared" si="149"/>
        <v>2027</v>
      </c>
      <c r="L359" s="7">
        <f t="shared" si="149"/>
        <v>2028</v>
      </c>
    </row>
    <row r="360" spans="2:15" x14ac:dyDescent="0.3">
      <c r="C360" s="8" t="str">
        <f t="shared" ref="C360:L360" si="150">C13</f>
        <v>Fiscal year end date</v>
      </c>
      <c r="D360" s="9">
        <f t="shared" si="150"/>
        <v>44196</v>
      </c>
      <c r="E360" s="9">
        <f t="shared" si="150"/>
        <v>44561</v>
      </c>
      <c r="F360" s="9">
        <f t="shared" si="150"/>
        <v>44926</v>
      </c>
      <c r="G360" s="9">
        <f t="shared" si="150"/>
        <v>45291</v>
      </c>
      <c r="H360" s="9">
        <f t="shared" si="150"/>
        <v>45657</v>
      </c>
      <c r="I360" s="9">
        <f t="shared" si="150"/>
        <v>46022</v>
      </c>
      <c r="J360" s="9">
        <f t="shared" si="150"/>
        <v>46387</v>
      </c>
      <c r="K360" s="9">
        <f t="shared" si="150"/>
        <v>46752</v>
      </c>
      <c r="L360" s="9">
        <f t="shared" si="150"/>
        <v>47118</v>
      </c>
    </row>
    <row r="361" spans="2:15" x14ac:dyDescent="0.3">
      <c r="C361" s="28" t="s">
        <v>143</v>
      </c>
      <c r="D361" s="28"/>
      <c r="E361" s="89"/>
      <c r="F361" s="89"/>
      <c r="G361" s="89"/>
      <c r="H361" s="12">
        <f>G364</f>
        <v>1623218</v>
      </c>
      <c r="I361" s="12">
        <f t="shared" ref="I361:L361" si="151">H364</f>
        <v>1471718</v>
      </c>
      <c r="J361" s="12">
        <f t="shared" si="151"/>
        <v>1719413.3</v>
      </c>
      <c r="K361" s="12">
        <f t="shared" si="151"/>
        <v>2018108.5999999999</v>
      </c>
      <c r="L361" s="12">
        <f t="shared" si="151"/>
        <v>2316803.8999999994</v>
      </c>
    </row>
    <row r="362" spans="2:15" x14ac:dyDescent="0.3">
      <c r="C362" s="65" t="s">
        <v>172</v>
      </c>
      <c r="D362" s="65"/>
      <c r="E362" s="65"/>
      <c r="F362" s="65"/>
      <c r="G362" s="65"/>
      <c r="H362" s="81">
        <f>H244*H237+H245*H238+H209*H202+H210*H203</f>
        <v>298500</v>
      </c>
      <c r="I362" s="81">
        <f>I244*I237+I245*I238+I209*I202+I210*I203</f>
        <v>400500</v>
      </c>
      <c r="J362" s="81">
        <f>J244*J237+J245*J238+J209*J202+J210*J203</f>
        <v>451500</v>
      </c>
      <c r="K362" s="81">
        <f>K244*K237+K245*K238+K209*K202+K210*K203</f>
        <v>451500</v>
      </c>
      <c r="L362" s="81">
        <f>L244*L237+L245*L238+L209*L202+L210*L203</f>
        <v>451500</v>
      </c>
    </row>
    <row r="363" spans="2:15" x14ac:dyDescent="0.3">
      <c r="C363" s="66" t="s">
        <v>174</v>
      </c>
      <c r="D363" s="66"/>
      <c r="E363" s="66"/>
      <c r="F363" s="66"/>
      <c r="G363" s="66"/>
      <c r="H363" s="48">
        <v>-450000</v>
      </c>
      <c r="I363" s="48">
        <v>-152804.69999999995</v>
      </c>
      <c r="J363" s="48">
        <v>-152804.69999999995</v>
      </c>
      <c r="K363" s="48">
        <v>-152804.69999999995</v>
      </c>
      <c r="L363" s="48">
        <v>-152804.69999999995</v>
      </c>
      <c r="N363" s="12"/>
      <c r="O363" s="12"/>
    </row>
    <row r="364" spans="2:15" x14ac:dyDescent="0.3">
      <c r="C364" s="46" t="s">
        <v>75</v>
      </c>
      <c r="D364" s="46"/>
      <c r="E364" s="11">
        <f>E76</f>
        <v>1034613</v>
      </c>
      <c r="F364" s="11">
        <f>F76</f>
        <v>1618771</v>
      </c>
      <c r="G364" s="11">
        <f>G76</f>
        <v>1623218</v>
      </c>
      <c r="H364" s="11">
        <f>SUM(H361:H363)</f>
        <v>1471718</v>
      </c>
      <c r="I364" s="11">
        <f t="shared" ref="I364:L364" si="152">SUM(I361:I363)</f>
        <v>1719413.3</v>
      </c>
      <c r="J364" s="11">
        <f t="shared" si="152"/>
        <v>2018108.5999999999</v>
      </c>
      <c r="K364" s="11">
        <f t="shared" si="152"/>
        <v>2316803.8999999994</v>
      </c>
      <c r="L364" s="11">
        <f t="shared" si="152"/>
        <v>2615499.1999999993</v>
      </c>
      <c r="O364" s="12"/>
    </row>
    <row r="365" spans="2:15" x14ac:dyDescent="0.3">
      <c r="C365" s="28"/>
      <c r="D365" s="28"/>
      <c r="E365" s="28"/>
      <c r="F365" s="28"/>
      <c r="G365" s="28"/>
      <c r="H365" s="28"/>
      <c r="I365" s="28"/>
      <c r="J365" s="28"/>
      <c r="K365" s="28"/>
      <c r="L365" s="28"/>
      <c r="O365" s="12"/>
    </row>
    <row r="366" spans="2:15" x14ac:dyDescent="0.3">
      <c r="B366" t="s">
        <v>7</v>
      </c>
      <c r="C366" s="55" t="s">
        <v>163</v>
      </c>
      <c r="D366" s="2"/>
    </row>
    <row r="367" spans="2:15" x14ac:dyDescent="0.3">
      <c r="C367" t="str">
        <f t="shared" ref="C367:L367" si="153">C12</f>
        <v>Fiscal year</v>
      </c>
      <c r="D367" s="6">
        <f t="shared" si="153"/>
        <v>2020</v>
      </c>
      <c r="E367" s="6">
        <f t="shared" si="153"/>
        <v>2021</v>
      </c>
      <c r="F367" s="6">
        <f t="shared" si="153"/>
        <v>2022</v>
      </c>
      <c r="G367" s="6">
        <f t="shared" si="153"/>
        <v>2023</v>
      </c>
      <c r="H367" s="7">
        <f t="shared" si="153"/>
        <v>2024</v>
      </c>
      <c r="I367" s="7">
        <f t="shared" si="153"/>
        <v>2025</v>
      </c>
      <c r="J367" s="7">
        <f t="shared" si="153"/>
        <v>2026</v>
      </c>
      <c r="K367" s="7">
        <f t="shared" si="153"/>
        <v>2027</v>
      </c>
      <c r="L367" s="7">
        <f t="shared" si="153"/>
        <v>2028</v>
      </c>
      <c r="O367" s="12"/>
    </row>
    <row r="368" spans="2:15" x14ac:dyDescent="0.3">
      <c r="C368" s="8" t="str">
        <f t="shared" ref="C368:L368" si="154">C13</f>
        <v>Fiscal year end date</v>
      </c>
      <c r="D368" s="9">
        <f t="shared" si="154"/>
        <v>44196</v>
      </c>
      <c r="E368" s="9">
        <f t="shared" si="154"/>
        <v>44561</v>
      </c>
      <c r="F368" s="9">
        <f t="shared" si="154"/>
        <v>44926</v>
      </c>
      <c r="G368" s="9">
        <f t="shared" si="154"/>
        <v>45291</v>
      </c>
      <c r="H368" s="9">
        <f t="shared" si="154"/>
        <v>45657</v>
      </c>
      <c r="I368" s="9">
        <f t="shared" si="154"/>
        <v>46022</v>
      </c>
      <c r="J368" s="9">
        <f t="shared" si="154"/>
        <v>46387</v>
      </c>
      <c r="K368" s="9">
        <f t="shared" si="154"/>
        <v>46752</v>
      </c>
      <c r="L368" s="9">
        <f t="shared" si="154"/>
        <v>47118</v>
      </c>
    </row>
    <row r="369" spans="2:14" x14ac:dyDescent="0.3">
      <c r="E369" s="34" t="s">
        <v>82</v>
      </c>
      <c r="F369" s="33"/>
      <c r="G369" s="33"/>
      <c r="H369" s="34" t="s">
        <v>83</v>
      </c>
      <c r="I369" s="33"/>
      <c r="J369" s="33"/>
      <c r="K369" s="33"/>
      <c r="L369" s="33"/>
    </row>
    <row r="370" spans="2:14" x14ac:dyDescent="0.3">
      <c r="C370" t="s">
        <v>164</v>
      </c>
      <c r="D370" s="12">
        <f>-D27</f>
        <v>19396</v>
      </c>
      <c r="E370" s="12">
        <f>-E27</f>
        <v>22220</v>
      </c>
      <c r="F370" s="12">
        <f>-F27</f>
        <v>42363</v>
      </c>
      <c r="G370" s="12">
        <f>-G27</f>
        <v>87858</v>
      </c>
      <c r="H370" s="12">
        <f ca="1">H375</f>
        <v>79847.560450643985</v>
      </c>
      <c r="I370" s="12">
        <f t="shared" ref="I370:L370" ca="1" si="155">I375</f>
        <v>74639.93634485986</v>
      </c>
      <c r="J370" s="12">
        <f t="shared" ca="1" si="155"/>
        <v>79069.172692285676</v>
      </c>
      <c r="K370" s="12">
        <f t="shared" ca="1" si="155"/>
        <v>84273.485410353227</v>
      </c>
      <c r="L370" s="12">
        <f t="shared" ca="1" si="155"/>
        <v>96509.556773556964</v>
      </c>
    </row>
    <row r="372" spans="2:14" x14ac:dyDescent="0.3">
      <c r="C372" s="73" t="s">
        <v>170</v>
      </c>
      <c r="D372" s="73"/>
    </row>
    <row r="373" spans="2:14" x14ac:dyDescent="0.3">
      <c r="C373" s="28" t="s">
        <v>165</v>
      </c>
      <c r="D373" s="199">
        <f>-D27/D374</f>
        <v>1.5377638522427441E-2</v>
      </c>
      <c r="E373" s="199">
        <f>-E27/E374</f>
        <v>1.6920654163760252E-2</v>
      </c>
      <c r="F373" s="199">
        <f>-F27/F374</f>
        <v>2.0258638004349846E-2</v>
      </c>
      <c r="G373" s="199">
        <f>-G27/G374</f>
        <v>4.5064790446005913E-2</v>
      </c>
      <c r="H373" s="83">
        <v>4.3499999999999997E-2</v>
      </c>
      <c r="I373" s="83">
        <v>4.1000000000000002E-2</v>
      </c>
      <c r="J373" s="83">
        <v>3.85E-2</v>
      </c>
      <c r="K373" s="83">
        <v>3.5999999999999997E-2</v>
      </c>
      <c r="L373" s="83">
        <v>3.5999999999999997E-2</v>
      </c>
    </row>
    <row r="374" spans="2:14" x14ac:dyDescent="0.3">
      <c r="C374" s="28" t="s">
        <v>166</v>
      </c>
      <c r="D374" s="49">
        <f t="shared" ref="D374:L374" si="156">D73+D76</f>
        <v>1261312</v>
      </c>
      <c r="E374" s="49">
        <f t="shared" si="156"/>
        <v>1313188</v>
      </c>
      <c r="F374" s="49">
        <f t="shared" si="156"/>
        <v>2091108</v>
      </c>
      <c r="G374" s="49">
        <f t="shared" si="156"/>
        <v>1949593</v>
      </c>
      <c r="H374" s="49">
        <f t="shared" ca="1" si="156"/>
        <v>1721559.2046273099</v>
      </c>
      <c r="I374" s="49">
        <f t="shared" ca="1" si="156"/>
        <v>1919413.3</v>
      </c>
      <c r="J374" s="49">
        <f t="shared" ca="1" si="156"/>
        <v>2188076.1905083456</v>
      </c>
      <c r="K374" s="49">
        <f t="shared" ca="1" si="156"/>
        <v>2493784.1100668311</v>
      </c>
      <c r="L374" s="49">
        <f t="shared" ca="1" si="156"/>
        <v>2867857.9329185975</v>
      </c>
      <c r="M374" s="12"/>
    </row>
    <row r="375" spans="2:14" x14ac:dyDescent="0.3">
      <c r="C375" s="74" t="s">
        <v>167</v>
      </c>
      <c r="D375" s="12"/>
      <c r="E375" s="11">
        <f>AVERAGE(D374:E374)*E373</f>
        <v>21781.112072300384</v>
      </c>
      <c r="F375" s="11">
        <f>AVERAGE(E374:F374)*F373</f>
        <v>34483.200161828085</v>
      </c>
      <c r="G375" s="11">
        <f>AVERAGE(F374:G374)*G373</f>
        <v>91046.67190998327</v>
      </c>
      <c r="H375" s="75">
        <f ca="1">IF($D$5=1,AVERAGE(G374:H374)*H373,0)</f>
        <v>79847.560450643985</v>
      </c>
      <c r="I375" s="75">
        <f t="shared" ref="I375:L375" ca="1" si="157">IF($D$5=1,AVERAGE(H374:I374)*I373,0)</f>
        <v>74639.93634485986</v>
      </c>
      <c r="J375" s="75">
        <f t="shared" ca="1" si="157"/>
        <v>79069.172692285661</v>
      </c>
      <c r="K375" s="75">
        <f t="shared" ca="1" si="157"/>
        <v>84273.485410353169</v>
      </c>
      <c r="L375" s="75">
        <f t="shared" ca="1" si="157"/>
        <v>96509.556773737699</v>
      </c>
    </row>
    <row r="376" spans="2:14" x14ac:dyDescent="0.3">
      <c r="E376" s="78"/>
      <c r="F376" s="78"/>
    </row>
    <row r="377" spans="2:14" x14ac:dyDescent="0.3">
      <c r="C377" s="73" t="s">
        <v>168</v>
      </c>
      <c r="D377" s="73"/>
      <c r="F377" s="12"/>
      <c r="G377" s="12"/>
    </row>
    <row r="378" spans="2:14" x14ac:dyDescent="0.3">
      <c r="C378" s="28" t="s">
        <v>169</v>
      </c>
      <c r="D378" s="200">
        <f>D26/D57</f>
        <v>2.2447009240699877E-3</v>
      </c>
      <c r="E378" s="200">
        <f>E26/E57</f>
        <v>9.5274785520603356E-3</v>
      </c>
      <c r="F378" s="200">
        <f>F26/F57</f>
        <v>1.1737409581001773E-2</v>
      </c>
      <c r="G378" s="200">
        <f>G26/G57</f>
        <v>2.0387790708131733E-2</v>
      </c>
      <c r="H378" s="83">
        <v>1.9E-2</v>
      </c>
      <c r="I378" s="83">
        <v>1.6500000000000001E-2</v>
      </c>
      <c r="J378" s="83">
        <v>1.4E-2</v>
      </c>
      <c r="K378" s="83">
        <v>1.15E-2</v>
      </c>
      <c r="L378" s="83">
        <v>1.15E-2</v>
      </c>
    </row>
    <row r="379" spans="2:14" x14ac:dyDescent="0.3">
      <c r="C379" s="28" t="s">
        <v>18</v>
      </c>
      <c r="D379" s="12">
        <f>D26</f>
        <v>2597</v>
      </c>
      <c r="E379" s="12">
        <f>E26</f>
        <v>9645</v>
      </c>
      <c r="F379" s="12">
        <f>F26</f>
        <v>11868</v>
      </c>
      <c r="G379" s="12">
        <f>G26</f>
        <v>15869</v>
      </c>
      <c r="H379" s="77">
        <f ca="1">IF($D$5=1,H378*AVERAGE(H57,G57),0)</f>
        <v>10620.776779090202</v>
      </c>
      <c r="I379" s="77">
        <f ca="1">IF($D$5=1,I378*AVERAGE(I57,H57),0)</f>
        <v>5884.4088568995376</v>
      </c>
      <c r="J379" s="77">
        <f ca="1">IF($D$5=1,J378*AVERAGE(J57,I57),0)</f>
        <v>4345.8247514594541</v>
      </c>
      <c r="K379" s="77">
        <f ca="1">IF($D$5=1,K378*AVERAGE(K57,J57),0)</f>
        <v>2980.1365650368934</v>
      </c>
      <c r="L379" s="77">
        <f ca="1">IF($D$5=1,L378*AVERAGE(L57,K57),0)</f>
        <v>2715.8293246628082</v>
      </c>
    </row>
    <row r="380" spans="2:14" x14ac:dyDescent="0.3">
      <c r="C380" s="28"/>
      <c r="D380" s="28"/>
      <c r="E380" s="12"/>
      <c r="F380" s="12"/>
      <c r="G380" s="12"/>
      <c r="H380" s="77"/>
      <c r="I380" s="77"/>
      <c r="J380" s="77"/>
      <c r="K380" s="77"/>
      <c r="L380" s="77"/>
    </row>
    <row r="381" spans="2:14" x14ac:dyDescent="0.3">
      <c r="L381" s="142" t="str">
        <f>UPPER("Active scenario: "&amp;'Scenario Analysis'!$D$3)</f>
        <v>ACTIVE SCENARIO: BASE CASE</v>
      </c>
    </row>
    <row r="382" spans="2:14" x14ac:dyDescent="0.3">
      <c r="B382" t="s">
        <v>7</v>
      </c>
      <c r="C382" s="44" t="s">
        <v>188</v>
      </c>
      <c r="D382" s="2"/>
    </row>
    <row r="383" spans="2:14" x14ac:dyDescent="0.3">
      <c r="C383" s="6" t="str">
        <f t="shared" ref="C383:L383" si="158">C12</f>
        <v>Fiscal year</v>
      </c>
      <c r="D383" s="6">
        <f t="shared" si="158"/>
        <v>2020</v>
      </c>
      <c r="E383" s="6">
        <f t="shared" si="158"/>
        <v>2021</v>
      </c>
      <c r="F383" s="6">
        <f t="shared" si="158"/>
        <v>2022</v>
      </c>
      <c r="G383" s="6">
        <f t="shared" si="158"/>
        <v>2023</v>
      </c>
      <c r="H383" s="7">
        <f t="shared" si="158"/>
        <v>2024</v>
      </c>
      <c r="I383" s="7">
        <f t="shared" si="158"/>
        <v>2025</v>
      </c>
      <c r="J383" s="7">
        <f t="shared" si="158"/>
        <v>2026</v>
      </c>
      <c r="K383" s="7">
        <f t="shared" si="158"/>
        <v>2027</v>
      </c>
      <c r="L383" s="7">
        <f t="shared" si="158"/>
        <v>2028</v>
      </c>
      <c r="N383" s="146" t="s">
        <v>26</v>
      </c>
    </row>
    <row r="384" spans="2:14" x14ac:dyDescent="0.3">
      <c r="C384" s="9" t="str">
        <f t="shared" ref="C384:L384" si="159">C13</f>
        <v>Fiscal year end date</v>
      </c>
      <c r="D384" s="9">
        <f t="shared" si="159"/>
        <v>44196</v>
      </c>
      <c r="E384" s="9">
        <f t="shared" si="159"/>
        <v>44561</v>
      </c>
      <c r="F384" s="9">
        <f t="shared" si="159"/>
        <v>44926</v>
      </c>
      <c r="G384" s="9">
        <f t="shared" si="159"/>
        <v>45291</v>
      </c>
      <c r="H384" s="9">
        <f t="shared" si="159"/>
        <v>45657</v>
      </c>
      <c r="I384" s="9">
        <f t="shared" si="159"/>
        <v>46022</v>
      </c>
      <c r="J384" s="9">
        <f t="shared" si="159"/>
        <v>46387</v>
      </c>
      <c r="K384" s="9">
        <f t="shared" si="159"/>
        <v>46752</v>
      </c>
      <c r="L384" s="9">
        <f t="shared" si="159"/>
        <v>47118</v>
      </c>
      <c r="N384" s="19" t="s">
        <v>27</v>
      </c>
    </row>
    <row r="386" spans="3:14" x14ac:dyDescent="0.3">
      <c r="C386" t="s">
        <v>25</v>
      </c>
      <c r="D386" s="12">
        <f t="shared" ref="D386:L386" si="160">D35</f>
        <v>280333</v>
      </c>
      <c r="E386" s="12">
        <f t="shared" si="160"/>
        <v>292569</v>
      </c>
      <c r="F386" s="12">
        <f t="shared" si="160"/>
        <v>262896</v>
      </c>
      <c r="G386" s="12">
        <f t="shared" si="160"/>
        <v>327770</v>
      </c>
      <c r="H386" s="12">
        <f t="shared" ca="1" si="160"/>
        <v>365748.93402852985</v>
      </c>
      <c r="I386" s="12">
        <f t="shared" ca="1" si="160"/>
        <v>283911.91933667898</v>
      </c>
      <c r="J386" s="12">
        <f t="shared" ca="1" si="160"/>
        <v>329502.1039159791</v>
      </c>
      <c r="K386" s="12">
        <f t="shared" ca="1" si="160"/>
        <v>423724.64682984736</v>
      </c>
      <c r="L386" s="12">
        <f t="shared" ca="1" si="160"/>
        <v>515648.07095339161</v>
      </c>
      <c r="N386" s="149">
        <f ca="1">((L386/G386)^(1/($L$383-$G$383)))-1</f>
        <v>9.485558789535542E-2</v>
      </c>
    </row>
    <row r="387" spans="3:14" x14ac:dyDescent="0.3">
      <c r="C387" t="s">
        <v>189</v>
      </c>
      <c r="D387" s="50">
        <v>101859.14200000001</v>
      </c>
      <c r="E387" s="50">
        <v>102286.645</v>
      </c>
      <c r="F387" s="50">
        <v>102881.989</v>
      </c>
      <c r="G387" s="50">
        <v>103100.515</v>
      </c>
      <c r="H387" s="12">
        <f ca="1">H401</f>
        <v>104521.53233385723</v>
      </c>
      <c r="I387" s="12">
        <f t="shared" ref="I387:L387" ca="1" si="161">I401</f>
        <v>105366.30284836299</v>
      </c>
      <c r="J387" s="12">
        <f t="shared" ca="1" si="161"/>
        <v>106279.17127483161</v>
      </c>
      <c r="K387" s="12">
        <f t="shared" ca="1" si="161"/>
        <v>107015.04757277088</v>
      </c>
      <c r="L387" s="12">
        <f t="shared" ca="1" si="161"/>
        <v>107512.02076161825</v>
      </c>
      <c r="N387" s="149">
        <f ca="1">((L387/G387)^(1/($L$383-$G$383)))-1</f>
        <v>8.4148628234712586E-3</v>
      </c>
    </row>
    <row r="388" spans="3:14" x14ac:dyDescent="0.3">
      <c r="C388" s="2" t="s">
        <v>190</v>
      </c>
      <c r="D388" s="98">
        <f>D386/D387</f>
        <v>2.7521633747906495</v>
      </c>
      <c r="E388" s="98">
        <f t="shared" ref="E388:F388" si="162">E386/E387</f>
        <v>2.860285426313474</v>
      </c>
      <c r="F388" s="98">
        <f t="shared" si="162"/>
        <v>2.555316071892817</v>
      </c>
      <c r="G388" s="98">
        <f t="shared" ref="G388:L388" si="163">G386/G387</f>
        <v>3.1791305795126243</v>
      </c>
      <c r="H388" s="98">
        <f t="shared" ca="1" si="163"/>
        <v>3.4992687713405659</v>
      </c>
      <c r="I388" s="98">
        <f t="shared" ca="1" si="163"/>
        <v>2.6945229324907451</v>
      </c>
      <c r="J388" s="98">
        <f t="shared" ca="1" si="163"/>
        <v>3.1003450625702218</v>
      </c>
      <c r="K388" s="98">
        <f t="shared" ca="1" si="163"/>
        <v>3.959486599692553</v>
      </c>
      <c r="L388" s="98">
        <f t="shared" ca="1" si="163"/>
        <v>4.7961899264893901</v>
      </c>
      <c r="N388" s="149">
        <f ca="1">((L388/G388)^(1/($L$383-$G$383)))-1</f>
        <v>8.5719408012152609E-2</v>
      </c>
    </row>
    <row r="390" spans="3:14" x14ac:dyDescent="0.3">
      <c r="C390" t="s">
        <v>192</v>
      </c>
      <c r="D390" s="50">
        <v>103368.212</v>
      </c>
      <c r="E390" s="50">
        <v>102533.545</v>
      </c>
      <c r="F390" s="50">
        <v>103003.841</v>
      </c>
      <c r="G390" s="50">
        <v>103507.09600000001</v>
      </c>
      <c r="H390" s="12">
        <f ca="1">H387+G390-G387</f>
        <v>104928.11333385723</v>
      </c>
      <c r="I390" s="12">
        <f t="shared" ref="I390:L390" ca="1" si="164">I387+H390-H387</f>
        <v>105772.88384836298</v>
      </c>
      <c r="J390" s="12">
        <f t="shared" ca="1" si="164"/>
        <v>106685.7522748316</v>
      </c>
      <c r="K390" s="12">
        <f t="shared" ca="1" si="164"/>
        <v>107421.62857277089</v>
      </c>
      <c r="L390" s="12">
        <f t="shared" ca="1" si="164"/>
        <v>107918.60176161825</v>
      </c>
      <c r="N390" s="149">
        <f ca="1">((L390/G390)^(1/($L$383-$G$383)))-1</f>
        <v>8.3823537930760583E-3</v>
      </c>
    </row>
    <row r="391" spans="3:14" x14ac:dyDescent="0.3">
      <c r="C391" s="2" t="s">
        <v>193</v>
      </c>
      <c r="D391" s="98">
        <f>D386/D390</f>
        <v>2.7119846089627631</v>
      </c>
      <c r="E391" s="98">
        <f t="shared" ref="E391:F391" si="165">E386/E390</f>
        <v>2.853397880664323</v>
      </c>
      <c r="F391" s="98">
        <f t="shared" si="165"/>
        <v>2.5522931712808652</v>
      </c>
      <c r="G391" s="98">
        <f t="shared" ref="G391:L391" si="166">G386/G390</f>
        <v>3.1666427971276478</v>
      </c>
      <c r="H391" s="98">
        <f t="shared" ca="1" si="166"/>
        <v>3.4857096197355659</v>
      </c>
      <c r="I391" s="98">
        <f t="shared" ca="1" si="166"/>
        <v>2.6841654402058075</v>
      </c>
      <c r="J391" s="98">
        <f t="shared" ca="1" si="166"/>
        <v>3.0885296010956886</v>
      </c>
      <c r="K391" s="98">
        <f t="shared" ca="1" si="166"/>
        <v>3.9445003064983561</v>
      </c>
      <c r="L391" s="98">
        <f t="shared" ca="1" si="166"/>
        <v>4.7781203845877132</v>
      </c>
      <c r="N391" s="149">
        <f ca="1">((L391/G391)^(1/($L$383-$G$383)))-1</f>
        <v>8.5754410295862726E-2</v>
      </c>
    </row>
    <row r="392" spans="3:14" x14ac:dyDescent="0.3">
      <c r="C392" s="5" t="s">
        <v>443</v>
      </c>
      <c r="D392" s="98"/>
      <c r="E392" s="149">
        <f>E391/D391-1</f>
        <v>5.2143832687769454E-2</v>
      </c>
      <c r="F392" s="149">
        <f t="shared" ref="F392:L392" si="167">F391/E391-1</f>
        <v>-0.10552496426238145</v>
      </c>
      <c r="G392" s="149">
        <f t="shared" si="167"/>
        <v>0.24070496005694841</v>
      </c>
      <c r="H392" s="149">
        <f t="shared" ca="1" si="167"/>
        <v>0.1007587034752806</v>
      </c>
      <c r="I392" s="149">
        <f t="shared" ca="1" si="167"/>
        <v>-0.22995150685861365</v>
      </c>
      <c r="J392" s="149">
        <f t="shared" ca="1" si="167"/>
        <v>0.15064800210633678</v>
      </c>
      <c r="K392" s="149">
        <f t="shared" ca="1" si="167"/>
        <v>0.27714505475324014</v>
      </c>
      <c r="L392" s="149">
        <f t="shared" ca="1" si="167"/>
        <v>0.21133730848391918</v>
      </c>
      <c r="N392" s="149"/>
    </row>
    <row r="394" spans="3:14" x14ac:dyDescent="0.3">
      <c r="C394" t="s">
        <v>194</v>
      </c>
      <c r="H394" s="12">
        <f ca="1">H320+H326+H37</f>
        <v>16356.751263449345</v>
      </c>
      <c r="I394" s="12">
        <f ca="1">I320+I326+I37</f>
        <v>16654.540602437959</v>
      </c>
      <c r="J394" s="12">
        <f ca="1">J320+J326+J37</f>
        <v>17481.737824167565</v>
      </c>
      <c r="K394" s="12">
        <f ca="1">K320+K326+K37</f>
        <v>15678.158019492941</v>
      </c>
      <c r="L394" s="12">
        <f ca="1">L320+L326+L37</f>
        <v>12281.850304031745</v>
      </c>
    </row>
    <row r="395" spans="3:14" x14ac:dyDescent="0.3">
      <c r="C395" t="s">
        <v>461</v>
      </c>
      <c r="D395" s="97">
        <f ca="1">_xlfn.XLOOKUP(D383,'Share Price Data'!1:1,'Share Price Data'!3:3)</f>
        <v>41.417509727626481</v>
      </c>
      <c r="E395" s="97">
        <f ca="1">_xlfn.XLOOKUP(E383,'Share Price Data'!1:1,'Share Price Data'!3:3)</f>
        <v>34.676575875486378</v>
      </c>
      <c r="F395" s="97">
        <f ca="1">_xlfn.XLOOKUP(F383,'Share Price Data'!1:1,'Share Price Data'!3:3)</f>
        <v>25.09315175097278</v>
      </c>
      <c r="G395" s="97">
        <f ca="1">_xlfn.XLOOKUP(G383,'Share Price Data'!1:1,'Share Price Data'!3:3)</f>
        <v>23.615411764705893</v>
      </c>
      <c r="H395" s="221">
        <f ca="1">D6</f>
        <v>22.38</v>
      </c>
      <c r="I395" s="13">
        <f ca="1">H395*(1+I396)</f>
        <v>17.372432736220201</v>
      </c>
      <c r="J395" s="13">
        <f t="shared" ref="J395:L395" ca="1" si="168">I395*(1+J396)</f>
        <v>20.162074033726078</v>
      </c>
      <c r="K395" s="13">
        <f t="shared" ca="1" si="168"/>
        <v>25.927505766324025</v>
      </c>
      <c r="L395" s="13">
        <f t="shared" ca="1" si="168"/>
        <v>31.552255534506273</v>
      </c>
    </row>
    <row r="396" spans="3:14" x14ac:dyDescent="0.3">
      <c r="C396" t="s">
        <v>199</v>
      </c>
      <c r="E396" s="99">
        <f>E386/D386-1</f>
        <v>4.3648089950166336E-2</v>
      </c>
      <c r="F396" s="100">
        <f t="shared" ref="F396" si="169">F386/E386-1</f>
        <v>-0.10142222860248351</v>
      </c>
      <c r="G396" s="100">
        <f t="shared" ref="G396:L396" si="170">G386/F386-1</f>
        <v>0.24676678230174676</v>
      </c>
      <c r="H396" s="100">
        <f t="shared" ca="1" si="170"/>
        <v>0.11587068379818111</v>
      </c>
      <c r="I396" s="100">
        <f t="shared" ca="1" si="170"/>
        <v>-0.22375188846201055</v>
      </c>
      <c r="J396" s="100">
        <f t="shared" ca="1" si="170"/>
        <v>0.16057862130556289</v>
      </c>
      <c r="K396" s="100">
        <f t="shared" ca="1" si="170"/>
        <v>0.28595429830060937</v>
      </c>
      <c r="L396" s="100">
        <f t="shared" ca="1" si="170"/>
        <v>0.21694141422096092</v>
      </c>
    </row>
    <row r="398" spans="3:14" x14ac:dyDescent="0.3">
      <c r="C398" s="2" t="s">
        <v>370</v>
      </c>
      <c r="D398" s="2"/>
      <c r="E398" s="2"/>
      <c r="F398" s="2"/>
      <c r="G398" s="2"/>
      <c r="H398" s="128">
        <f ca="1">D8/1000</f>
        <v>104156.1</v>
      </c>
      <c r="I398" s="11">
        <f ca="1">H400</f>
        <v>104886.96466771445</v>
      </c>
      <c r="J398" s="11">
        <f t="shared" ref="J398:L398" ca="1" si="171">I400</f>
        <v>105845.64102901153</v>
      </c>
      <c r="K398" s="11">
        <f t="shared" ca="1" si="171"/>
        <v>106712.70152065168</v>
      </c>
      <c r="L398" s="11">
        <f t="shared" ca="1" si="171"/>
        <v>107317.39362489009</v>
      </c>
    </row>
    <row r="399" spans="3:14" x14ac:dyDescent="0.3">
      <c r="C399" t="s">
        <v>196</v>
      </c>
      <c r="H399" s="12">
        <f ca="1">H394/H395</f>
        <v>730.86466771444793</v>
      </c>
      <c r="I399" s="12">
        <f t="shared" ref="I399:L399" ca="1" si="172">I394/I395</f>
        <v>958.6763612970858</v>
      </c>
      <c r="J399" s="12">
        <f t="shared" ca="1" si="172"/>
        <v>867.06049164014644</v>
      </c>
      <c r="K399" s="12">
        <f t="shared" ca="1" si="172"/>
        <v>604.69210423844697</v>
      </c>
      <c r="L399" s="12">
        <f t="shared" ca="1" si="172"/>
        <v>389.25427345756725</v>
      </c>
    </row>
    <row r="400" spans="3:14" x14ac:dyDescent="0.3">
      <c r="C400" t="s">
        <v>197</v>
      </c>
      <c r="H400" s="12">
        <f ca="1">H398+H399</f>
        <v>104886.96466771445</v>
      </c>
      <c r="I400" s="12">
        <f t="shared" ref="I400:L400" ca="1" si="173">I398+I399</f>
        <v>105845.64102901153</v>
      </c>
      <c r="J400" s="12">
        <f t="shared" ca="1" si="173"/>
        <v>106712.70152065168</v>
      </c>
      <c r="K400" s="12">
        <f t="shared" ca="1" si="173"/>
        <v>107317.39362489013</v>
      </c>
      <c r="L400" s="12">
        <f t="shared" ca="1" si="173"/>
        <v>107706.64789834766</v>
      </c>
    </row>
    <row r="401" spans="3:14" x14ac:dyDescent="0.3">
      <c r="C401" s="2" t="s">
        <v>198</v>
      </c>
      <c r="D401" s="2"/>
      <c r="E401" s="2"/>
      <c r="F401" s="2"/>
      <c r="G401" s="2"/>
      <c r="H401" s="11">
        <f ca="1">AVERAGE(H400,H398)</f>
        <v>104521.53233385723</v>
      </c>
      <c r="I401" s="11">
        <f t="shared" ref="I401:L401" ca="1" si="174">AVERAGE(I400,I398)</f>
        <v>105366.30284836299</v>
      </c>
      <c r="J401" s="11">
        <f t="shared" ca="1" si="174"/>
        <v>106279.17127483161</v>
      </c>
      <c r="K401" s="11">
        <f t="shared" ca="1" si="174"/>
        <v>107015.04757277091</v>
      </c>
      <c r="L401" s="11">
        <f t="shared" ca="1" si="174"/>
        <v>107512.02076161887</v>
      </c>
      <c r="N401" s="149"/>
    </row>
    <row r="403" spans="3:14" x14ac:dyDescent="0.3">
      <c r="L403" s="142" t="str">
        <f>UPPER("Active scenario: "&amp;'Scenario Analysis'!$D$3)</f>
        <v>ACTIVE SCENARIO: BASE CASE</v>
      </c>
    </row>
    <row r="404" spans="3:14" x14ac:dyDescent="0.3">
      <c r="C404" s="41"/>
    </row>
    <row r="405" spans="3:14" x14ac:dyDescent="0.3">
      <c r="C405" s="12"/>
    </row>
  </sheetData>
  <dataValidations disablePrompts="1" count="3">
    <dataValidation type="list" allowBlank="1" showInputMessage="1" showErrorMessage="1" sqref="D148 D158 D170" xr:uid="{D1445784-F354-4FC9-BCDD-242AA94A131E}">
      <formula1>"1,2"</formula1>
    </dataValidation>
    <dataValidation type="list" allowBlank="1" showInputMessage="1" showErrorMessage="1" sqref="D5" xr:uid="{AF054252-322C-4779-980E-72B726787B58}">
      <formula1>"1,0"</formula1>
    </dataValidation>
    <dataValidation type="list" allowBlank="1" showInputMessage="1" showErrorMessage="1" sqref="D221 D253 D278" xr:uid="{83AAECBD-DAE2-408A-99ED-523373C1D234}">
      <formula1>"1,0.5"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2981-A6E5-4E88-9E5B-82EFCBDEC9B4}">
  <sheetPr codeName="Sheet3"/>
  <dimension ref="B2:L76"/>
  <sheetViews>
    <sheetView workbookViewId="0"/>
  </sheetViews>
  <sheetFormatPr defaultRowHeight="14.4" x14ac:dyDescent="0.3"/>
  <cols>
    <col min="1" max="2" width="1.77734375" customWidth="1"/>
    <col min="3" max="3" width="35.6640625" customWidth="1"/>
    <col min="4" max="4" width="10.6640625" customWidth="1"/>
    <col min="5" max="12" width="11.21875" bestFit="1" customWidth="1"/>
    <col min="13" max="13" width="1.6640625" customWidth="1"/>
  </cols>
  <sheetData>
    <row r="2" spans="2:12" x14ac:dyDescent="0.3">
      <c r="B2" t="s">
        <v>7</v>
      </c>
      <c r="C2" s="2" t="s">
        <v>247</v>
      </c>
      <c r="D2" s="2"/>
    </row>
    <row r="3" spans="2:12" x14ac:dyDescent="0.3">
      <c r="C3" s="14" t="str">
        <f>Model!C12</f>
        <v>Fiscal year</v>
      </c>
      <c r="D3" s="6">
        <f>Model!D12</f>
        <v>2020</v>
      </c>
      <c r="E3" s="6">
        <f>Model!E12</f>
        <v>2021</v>
      </c>
      <c r="F3" s="6">
        <f>Model!F12</f>
        <v>2022</v>
      </c>
      <c r="G3" s="6">
        <f>Model!G12</f>
        <v>2023</v>
      </c>
      <c r="H3" s="7">
        <f>Model!H12</f>
        <v>2024</v>
      </c>
      <c r="I3" s="7">
        <f>Model!I12</f>
        <v>2025</v>
      </c>
      <c r="J3" s="7">
        <f>Model!J12</f>
        <v>2026</v>
      </c>
      <c r="K3" s="7">
        <f>Model!K12</f>
        <v>2027</v>
      </c>
      <c r="L3" s="7">
        <f>Model!L12</f>
        <v>2028</v>
      </c>
    </row>
    <row r="4" spans="2:12" x14ac:dyDescent="0.3">
      <c r="C4" s="8" t="str">
        <f>Model!C13</f>
        <v>Fiscal year end date</v>
      </c>
      <c r="D4" s="9">
        <f>Model!D13</f>
        <v>44196</v>
      </c>
      <c r="E4" s="9">
        <f>Model!E13</f>
        <v>44561</v>
      </c>
      <c r="F4" s="9">
        <f>Model!F13</f>
        <v>44926</v>
      </c>
      <c r="G4" s="9">
        <f>Model!G13</f>
        <v>45291</v>
      </c>
      <c r="H4" s="9">
        <f>Model!H13</f>
        <v>45657</v>
      </c>
      <c r="I4" s="9">
        <f>Model!I13</f>
        <v>46022</v>
      </c>
      <c r="J4" s="9">
        <f>Model!J13</f>
        <v>46387</v>
      </c>
      <c r="K4" s="9">
        <f>Model!K13</f>
        <v>46752</v>
      </c>
      <c r="L4" s="9">
        <f>Model!L13</f>
        <v>47118</v>
      </c>
    </row>
    <row r="5" spans="2:12" x14ac:dyDescent="0.3">
      <c r="C5" t="s">
        <v>251</v>
      </c>
      <c r="D5" s="121">
        <f>_xlfn.XLOOKUP(D$3,'Rubis Energies Division'!$3:$3,'Rubis Energies Division'!24:24)</f>
        <v>3333657</v>
      </c>
      <c r="E5" s="121">
        <f>_xlfn.XLOOKUP(E$3,'Rubis Energies Division'!$3:$3,'Rubis Energies Division'!24:24)</f>
        <v>3992912</v>
      </c>
      <c r="F5" s="121">
        <f>_xlfn.XLOOKUP(F$3,'Rubis Energies Division'!$3:$3,'Rubis Energies Division'!24:24)</f>
        <v>6060778</v>
      </c>
      <c r="G5" s="121">
        <f>_xlfn.XLOOKUP(G$3,'Rubis Energies Division'!$3:$3,'Rubis Energies Division'!24:24)</f>
        <v>5548955</v>
      </c>
      <c r="H5" s="121">
        <f ca="1">_xlfn.XLOOKUP(H$3,'Rubis Energies Division'!$3:$3,'Rubis Energies Division'!24:24)</f>
        <v>5918880.4893164169</v>
      </c>
      <c r="I5" s="121">
        <f ca="1">_xlfn.XLOOKUP(I$3,'Rubis Energies Division'!$3:$3,'Rubis Energies Division'!24:24)</f>
        <v>5818785.4078180958</v>
      </c>
      <c r="J5" s="121">
        <f ca="1">_xlfn.XLOOKUP(J$3,'Rubis Energies Division'!$3:$3,'Rubis Energies Division'!24:24)</f>
        <v>6265458.629302307</v>
      </c>
      <c r="K5" s="121">
        <f ca="1">_xlfn.XLOOKUP(K$3,'Rubis Energies Division'!$3:$3,'Rubis Energies Division'!24:24)</f>
        <v>7339364.1935175899</v>
      </c>
      <c r="L5" s="121">
        <f ca="1">_xlfn.XLOOKUP(L$3,'Rubis Energies Division'!$3:$3,'Rubis Energies Division'!24:24)</f>
        <v>8698126.3044516034</v>
      </c>
    </row>
    <row r="6" spans="2:12" x14ac:dyDescent="0.3">
      <c r="C6" t="s">
        <v>252</v>
      </c>
      <c r="D6" s="121">
        <f>_xlfn.XLOOKUP(D$3,'Rubis Energies Division'!$3:$3,'Rubis Energies Division'!177:177)</f>
        <v>567685</v>
      </c>
      <c r="E6" s="121">
        <f>_xlfn.XLOOKUP(E$3,'Rubis Energies Division'!$3:$3,'Rubis Energies Division'!177:177)</f>
        <v>596287</v>
      </c>
      <c r="F6" s="121">
        <f>_xlfn.XLOOKUP(F$3,'Rubis Energies Division'!$3:$3,'Rubis Energies Division'!177:177)</f>
        <v>1041258</v>
      </c>
      <c r="G6" s="121">
        <f>_xlfn.XLOOKUP(G$3,'Rubis Energies Division'!$3:$3,'Rubis Energies Division'!177:177)</f>
        <v>1032271</v>
      </c>
      <c r="H6" s="121">
        <f ca="1">_xlfn.XLOOKUP(H$3,'Rubis Energies Division'!$3:$3,'Rubis Energies Division'!177:177)</f>
        <v>993995.66257777775</v>
      </c>
      <c r="I6" s="121">
        <f ca="1">_xlfn.XLOOKUP(I$3,'Rubis Energies Division'!$3:$3,'Rubis Energies Division'!177:177)</f>
        <v>940112.92738026672</v>
      </c>
      <c r="J6" s="121">
        <f ca="1">_xlfn.XLOOKUP(J$3,'Rubis Energies Division'!$3:$3,'Rubis Energies Division'!177:177)</f>
        <v>943964.82818447368</v>
      </c>
      <c r="K6" s="121">
        <f ca="1">_xlfn.XLOOKUP(K$3,'Rubis Energies Division'!$3:$3,'Rubis Energies Division'!177:177)</f>
        <v>1011523.1853608465</v>
      </c>
      <c r="L6" s="121">
        <f ca="1">_xlfn.XLOOKUP(L$3,'Rubis Energies Division'!$3:$3,'Rubis Energies Division'!177:177)</f>
        <v>1100918.0912571975</v>
      </c>
    </row>
    <row r="7" spans="2:12" x14ac:dyDescent="0.3">
      <c r="C7" t="s">
        <v>248</v>
      </c>
      <c r="D7" s="121">
        <f>_xlfn.XLOOKUP(D$3,'Rubis Energies Division'!$3:$3,'Renewables Division'!8:8)</f>
        <v>0</v>
      </c>
      <c r="E7" s="121">
        <f>_xlfn.XLOOKUP(E$3,'Rubis Energies Division'!$3:$3,'Renewables Division'!8:8)</f>
        <v>0</v>
      </c>
      <c r="F7" s="121">
        <f>_xlfn.XLOOKUP(F$3,'Rubis Energies Division'!$3:$3,'Renewables Division'!8:8)</f>
        <v>32558</v>
      </c>
      <c r="G7" s="121">
        <f>_xlfn.XLOOKUP(G$3,'Rubis Energies Division'!$3:$3,'Renewables Division'!8:8)</f>
        <v>48639</v>
      </c>
      <c r="H7" s="121">
        <f ca="1">_xlfn.XLOOKUP(H$3,'Rubis Energies Division'!$3:$3,'Renewables Division'!8:8)</f>
        <v>67892.334545454549</v>
      </c>
      <c r="I7" s="121">
        <f ca="1">_xlfn.XLOOKUP(I$3,'Rubis Energies Division'!$3:$3,'Renewables Division'!8:8)</f>
        <v>104498.83636363638</v>
      </c>
      <c r="J7" s="121">
        <f ca="1">_xlfn.XLOOKUP(J$3,'Rubis Energies Division'!$3:$3,'Renewables Division'!8:8)</f>
        <v>149866.41531100479</v>
      </c>
      <c r="K7" s="121">
        <f ca="1">_xlfn.XLOOKUP(K$3,'Rubis Energies Division'!$3:$3,'Renewables Division'!8:8)</f>
        <v>203740.41531100479</v>
      </c>
      <c r="L7" s="121">
        <f ca="1">_xlfn.XLOOKUP(L$3,'Rubis Energies Division'!$3:$3,'Renewables Division'!8:8)</f>
        <v>261921.64822966509</v>
      </c>
    </row>
    <row r="8" spans="2:12" x14ac:dyDescent="0.3">
      <c r="C8" s="45" t="s">
        <v>250</v>
      </c>
      <c r="D8" s="113">
        <v>661</v>
      </c>
      <c r="E8" s="113">
        <v>247</v>
      </c>
      <c r="F8" s="113">
        <v>134</v>
      </c>
      <c r="G8" s="113">
        <v>89</v>
      </c>
      <c r="H8" s="113">
        <f>AVERAGE(E8:G8)</f>
        <v>156.66666666666666</v>
      </c>
      <c r="I8" s="113">
        <f>H8</f>
        <v>156.66666666666666</v>
      </c>
      <c r="J8" s="113">
        <f t="shared" ref="J8:L8" si="0">I8</f>
        <v>156.66666666666666</v>
      </c>
      <c r="K8" s="113">
        <f t="shared" si="0"/>
        <v>156.66666666666666</v>
      </c>
      <c r="L8" s="113">
        <f t="shared" si="0"/>
        <v>156.66666666666666</v>
      </c>
    </row>
    <row r="9" spans="2:12" x14ac:dyDescent="0.3">
      <c r="C9" s="2" t="s">
        <v>249</v>
      </c>
      <c r="D9" s="11">
        <f>SUM(D5:D8)</f>
        <v>3902003</v>
      </c>
      <c r="E9" s="11">
        <f>SUM(E5:E8)</f>
        <v>4589446</v>
      </c>
      <c r="F9" s="11">
        <f t="shared" ref="F9:L9" si="1">SUM(F5:F8)</f>
        <v>7134728</v>
      </c>
      <c r="G9" s="11">
        <f t="shared" si="1"/>
        <v>6629954</v>
      </c>
      <c r="H9" s="11">
        <f t="shared" ca="1" si="1"/>
        <v>6980925.1531063169</v>
      </c>
      <c r="I9" s="11">
        <f t="shared" ca="1" si="1"/>
        <v>6863553.8382286653</v>
      </c>
      <c r="J9" s="11">
        <f t="shared" ca="1" si="1"/>
        <v>7359446.5394644523</v>
      </c>
      <c r="K9" s="11">
        <f t="shared" ca="1" si="1"/>
        <v>8554784.4608561061</v>
      </c>
      <c r="L9" s="11">
        <f t="shared" ca="1" si="1"/>
        <v>10061122.710605131</v>
      </c>
    </row>
    <row r="11" spans="2:12" x14ac:dyDescent="0.3">
      <c r="C11" s="20" t="s">
        <v>276</v>
      </c>
      <c r="D11" s="20"/>
    </row>
    <row r="12" spans="2:12" x14ac:dyDescent="0.3">
      <c r="C12" t="s">
        <v>251</v>
      </c>
      <c r="D12" s="22">
        <f>D5/D9</f>
        <v>0.85434506329185289</v>
      </c>
      <c r="E12" s="22">
        <f>E5/E9</f>
        <v>0.87002047741709998</v>
      </c>
      <c r="F12" s="22">
        <f t="shared" ref="F12:L12" si="2">F5/F9</f>
        <v>0.84947569129474876</v>
      </c>
      <c r="G12" s="22">
        <f t="shared" si="2"/>
        <v>0.83695226241388698</v>
      </c>
      <c r="H12" s="22">
        <f t="shared" ca="1" si="2"/>
        <v>0.84786476856619497</v>
      </c>
      <c r="I12" s="22">
        <f t="shared" ca="1" si="2"/>
        <v>0.84778025276185465</v>
      </c>
      <c r="J12" s="22">
        <f t="shared" ca="1" si="2"/>
        <v>0.85134915998156635</v>
      </c>
      <c r="K12" s="22">
        <f t="shared" ca="1" si="2"/>
        <v>0.85792508590954197</v>
      </c>
      <c r="L12" s="22">
        <f t="shared" ca="1" si="2"/>
        <v>0.86452839853381036</v>
      </c>
    </row>
    <row r="13" spans="2:12" x14ac:dyDescent="0.3">
      <c r="C13" t="s">
        <v>252</v>
      </c>
      <c r="D13" s="22">
        <f>D6/D9</f>
        <v>0.14548553653085353</v>
      </c>
      <c r="E13" s="22">
        <f>E6/E9</f>
        <v>0.12992570345091761</v>
      </c>
      <c r="F13" s="22">
        <f t="shared" ref="F13:L13" si="3">F6/F9</f>
        <v>0.14594221391481216</v>
      </c>
      <c r="G13" s="22">
        <f t="shared" si="3"/>
        <v>0.15569806366680675</v>
      </c>
      <c r="H13" s="22">
        <f t="shared" ca="1" si="3"/>
        <v>0.14238738287223685</v>
      </c>
      <c r="I13" s="22">
        <f t="shared" ca="1" si="3"/>
        <v>0.13697174226914632</v>
      </c>
      <c r="J13" s="22">
        <f t="shared" ca="1" si="3"/>
        <v>0.12826573616949816</v>
      </c>
      <c r="K13" s="22">
        <f t="shared" ca="1" si="3"/>
        <v>0.11824063949118128</v>
      </c>
      <c r="L13" s="22">
        <f t="shared" ca="1" si="3"/>
        <v>0.10942298617397364</v>
      </c>
    </row>
    <row r="14" spans="2:12" x14ac:dyDescent="0.3">
      <c r="C14" t="s">
        <v>248</v>
      </c>
      <c r="D14" s="22">
        <f>D7/D9</f>
        <v>0</v>
      </c>
      <c r="E14" s="22">
        <f>E7/E9</f>
        <v>0</v>
      </c>
      <c r="F14" s="22">
        <f t="shared" ref="F14:L14" si="4">F7/F9</f>
        <v>4.5633134157321764E-3</v>
      </c>
      <c r="G14" s="22">
        <f t="shared" si="4"/>
        <v>7.3362499950980053E-3</v>
      </c>
      <c r="H14" s="22">
        <f t="shared" ca="1" si="4"/>
        <v>9.7254064549373315E-3</v>
      </c>
      <c r="I14" s="22">
        <f t="shared" ca="1" si="4"/>
        <v>1.5225179087486442E-2</v>
      </c>
      <c r="J14" s="22">
        <f t="shared" ca="1" si="4"/>
        <v>2.036381601623953E-2</v>
      </c>
      <c r="K14" s="22">
        <f t="shared" ca="1" si="4"/>
        <v>2.3815961260421493E-2</v>
      </c>
      <c r="L14" s="22">
        <f t="shared" ca="1" si="4"/>
        <v>2.6033043802714109E-2</v>
      </c>
    </row>
    <row r="15" spans="2:12" x14ac:dyDescent="0.3">
      <c r="C15" s="45" t="s">
        <v>250</v>
      </c>
      <c r="D15" s="122">
        <f>D8/D9</f>
        <v>1.6940017729355923E-4</v>
      </c>
      <c r="E15" s="122">
        <f>E8/E9</f>
        <v>5.3819131982378701E-5</v>
      </c>
      <c r="F15" s="122">
        <f t="shared" ref="F15:L15" si="5">F8/F9</f>
        <v>1.8781374706926459E-5</v>
      </c>
      <c r="G15" s="122">
        <f t="shared" si="5"/>
        <v>1.342392420822226E-5</v>
      </c>
      <c r="H15" s="122">
        <f t="shared" ca="1" si="5"/>
        <v>2.2442106630659742E-5</v>
      </c>
      <c r="I15" s="122">
        <f t="shared" ca="1" si="5"/>
        <v>2.2825881512586626E-5</v>
      </c>
      <c r="J15" s="122">
        <f t="shared" ca="1" si="5"/>
        <v>2.1287832695917283E-5</v>
      </c>
      <c r="K15" s="122">
        <f t="shared" ca="1" si="5"/>
        <v>1.8313338855411503E-5</v>
      </c>
      <c r="L15" s="122">
        <f t="shared" ca="1" si="5"/>
        <v>1.557148950201442E-5</v>
      </c>
    </row>
    <row r="16" spans="2:12" x14ac:dyDescent="0.3">
      <c r="C16" s="2" t="s">
        <v>249</v>
      </c>
      <c r="D16" s="123">
        <f>SUM(D12:D15)</f>
        <v>1</v>
      </c>
      <c r="E16" s="123">
        <f>SUM(E12:E15)</f>
        <v>0.99999999999999989</v>
      </c>
      <c r="F16" s="123">
        <f t="shared" ref="F16:L16" si="6">SUM(F12:F15)</f>
        <v>0.99999999999999989</v>
      </c>
      <c r="G16" s="123">
        <f t="shared" si="6"/>
        <v>0.99999999999999989</v>
      </c>
      <c r="H16" s="123">
        <f t="shared" ca="1" si="6"/>
        <v>0.99999999999999978</v>
      </c>
      <c r="I16" s="123">
        <f t="shared" ca="1" si="6"/>
        <v>1</v>
      </c>
      <c r="J16" s="123">
        <f t="shared" ca="1" si="6"/>
        <v>0.99999999999999989</v>
      </c>
      <c r="K16" s="123">
        <f t="shared" ca="1" si="6"/>
        <v>1.0000000000000002</v>
      </c>
      <c r="L16" s="123">
        <f t="shared" ca="1" si="6"/>
        <v>1</v>
      </c>
    </row>
    <row r="18" spans="2:12" x14ac:dyDescent="0.3">
      <c r="L18" s="142" t="str">
        <f>UPPER("Active scenario: "&amp;'Scenario Analysis'!$D$3)</f>
        <v>ACTIVE SCENARIO: BASE CASE</v>
      </c>
    </row>
    <row r="19" spans="2:12" x14ac:dyDescent="0.3">
      <c r="B19" t="s">
        <v>7</v>
      </c>
      <c r="C19" s="2" t="s">
        <v>405</v>
      </c>
      <c r="D19" s="2"/>
      <c r="L19" s="142"/>
    </row>
    <row r="20" spans="2:12" x14ac:dyDescent="0.3">
      <c r="C20" s="14" t="str">
        <f>Model!C12</f>
        <v>Fiscal year</v>
      </c>
      <c r="D20" s="6">
        <f>Model!D12</f>
        <v>2020</v>
      </c>
      <c r="E20" s="6">
        <f>Model!E12</f>
        <v>2021</v>
      </c>
      <c r="F20" s="6">
        <f>Model!F12</f>
        <v>2022</v>
      </c>
      <c r="G20" s="6">
        <f>Model!G12</f>
        <v>2023</v>
      </c>
      <c r="H20" s="7">
        <f>Model!H12</f>
        <v>2024</v>
      </c>
      <c r="I20" s="7">
        <f>Model!I12</f>
        <v>2025</v>
      </c>
      <c r="J20" s="7">
        <f>Model!J12</f>
        <v>2026</v>
      </c>
      <c r="K20" s="7">
        <f>Model!K12</f>
        <v>2027</v>
      </c>
      <c r="L20" s="7">
        <f>Model!L12</f>
        <v>2028</v>
      </c>
    </row>
    <row r="21" spans="2:12" x14ac:dyDescent="0.3">
      <c r="C21" s="8" t="str">
        <f>Model!C13</f>
        <v>Fiscal year end date</v>
      </c>
      <c r="D21" s="9">
        <f>Model!D13</f>
        <v>44196</v>
      </c>
      <c r="E21" s="9">
        <f>Model!E13</f>
        <v>44561</v>
      </c>
      <c r="F21" s="9">
        <f>Model!F13</f>
        <v>44926</v>
      </c>
      <c r="G21" s="9">
        <f>Model!G13</f>
        <v>45291</v>
      </c>
      <c r="H21" s="9">
        <f>Model!H13</f>
        <v>45657</v>
      </c>
      <c r="I21" s="9">
        <f>Model!I13</f>
        <v>46022</v>
      </c>
      <c r="J21" s="9">
        <f>Model!J13</f>
        <v>46387</v>
      </c>
      <c r="K21" s="9">
        <f>Model!K13</f>
        <v>46752</v>
      </c>
      <c r="L21" s="9">
        <f>Model!L13</f>
        <v>47118</v>
      </c>
    </row>
    <row r="22" spans="2:12" x14ac:dyDescent="0.3">
      <c r="C22" t="s">
        <v>251</v>
      </c>
      <c r="E22" s="12"/>
      <c r="H22" s="121">
        <f ca="1">_xlfn.XLOOKUP(H$3,'Rubis Energies Division'!$3:$3,'Rubis Energies Division'!148:148)</f>
        <v>4677413.5874130893</v>
      </c>
      <c r="I22" s="121">
        <f ca="1">_xlfn.XLOOKUP(I$3,'Rubis Energies Division'!$3:$3,'Rubis Energies Division'!148:148)</f>
        <v>4600145.6556454729</v>
      </c>
      <c r="J22" s="121">
        <f ca="1">_xlfn.XLOOKUP(J$3,'Rubis Energies Division'!$3:$3,'Rubis Energies Division'!148:148)</f>
        <v>4955294.9415922072</v>
      </c>
      <c r="K22" s="121">
        <f ca="1">_xlfn.XLOOKUP(K$3,'Rubis Energies Division'!$3:$3,'Rubis Energies Division'!148:148)</f>
        <v>5807649.1320177605</v>
      </c>
      <c r="L22" s="121">
        <f ca="1">_xlfn.XLOOKUP(L$3,'Rubis Energies Division'!$3:$3,'Rubis Energies Division'!148:148)</f>
        <v>6887109.8022943325</v>
      </c>
    </row>
    <row r="23" spans="2:12" x14ac:dyDescent="0.3">
      <c r="C23" t="s">
        <v>252</v>
      </c>
      <c r="H23" s="121">
        <f ca="1">_xlfn.XLOOKUP(H$3,'Rubis Energies Division'!$3:$3,'Rubis Energies Division'!206:206)</f>
        <v>581455.72977777768</v>
      </c>
      <c r="I23" s="121">
        <f ca="1">_xlfn.XLOOKUP(I$3,'Rubis Energies Division'!$3:$3,'Rubis Energies Division'!206:206)</f>
        <v>521134.13866666669</v>
      </c>
      <c r="J23" s="121">
        <f ca="1">_xlfn.XLOOKUP(J$3,'Rubis Energies Division'!$3:$3,'Rubis Energies Division'!206:206)</f>
        <v>529317.1272000001</v>
      </c>
      <c r="K23" s="121">
        <f ca="1">_xlfn.XLOOKUP(K$3,'Rubis Energies Division'!$3:$3,'Rubis Energies Division'!206:206)</f>
        <v>601102.62600000016</v>
      </c>
      <c r="L23" s="121">
        <f ca="1">_xlfn.XLOOKUP(L$3,'Rubis Energies Division'!$3:$3,'Rubis Energies Division'!206:206)</f>
        <v>684137.09279999998</v>
      </c>
    </row>
    <row r="24" spans="2:12" x14ac:dyDescent="0.3">
      <c r="C24" s="45" t="s">
        <v>248</v>
      </c>
      <c r="D24" s="45"/>
      <c r="E24" s="45"/>
      <c r="F24" s="45"/>
      <c r="G24" s="45"/>
      <c r="H24" s="126">
        <f ca="1">_xlfn.XLOOKUP(H$3,'Rubis Energies Division'!$3:$3,'Renewables Division'!22:22)</f>
        <v>16973.083636363634</v>
      </c>
      <c r="I24" s="126">
        <f ca="1">_xlfn.XLOOKUP(I$3,'Rubis Energies Division'!$3:$3,'Renewables Division'!22:22)</f>
        <v>26124.709090909091</v>
      </c>
      <c r="J24" s="126">
        <f ca="1">_xlfn.XLOOKUP(J$3,'Rubis Energies Division'!$3:$3,'Renewables Division'!22:22)</f>
        <v>37466.603827751198</v>
      </c>
      <c r="K24" s="126">
        <f ca="1">_xlfn.XLOOKUP(K$3,'Rubis Energies Division'!$3:$3,'Renewables Division'!22:22)</f>
        <v>50935.103827751183</v>
      </c>
      <c r="L24" s="126">
        <f ca="1">_xlfn.XLOOKUP(L$3,'Rubis Energies Division'!$3:$3,'Renewables Division'!22:22)</f>
        <v>65480.412057416281</v>
      </c>
    </row>
    <row r="25" spans="2:12" x14ac:dyDescent="0.3">
      <c r="C25" s="2" t="s">
        <v>406</v>
      </c>
      <c r="D25" s="2"/>
      <c r="H25" s="12">
        <f ca="1">SUM(H22:H24)</f>
        <v>5275842.4008272309</v>
      </c>
      <c r="I25" s="12">
        <f t="shared" ref="I25:L25" ca="1" si="7">SUM(I22:I24)</f>
        <v>5147404.503403049</v>
      </c>
      <c r="J25" s="12">
        <f t="shared" ca="1" si="7"/>
        <v>5522078.6726199584</v>
      </c>
      <c r="K25" s="12">
        <f t="shared" ca="1" si="7"/>
        <v>6459686.8618455119</v>
      </c>
      <c r="L25" s="12">
        <f t="shared" ca="1" si="7"/>
        <v>7636727.3071517488</v>
      </c>
    </row>
    <row r="26" spans="2:12" x14ac:dyDescent="0.3">
      <c r="L26" s="142"/>
    </row>
    <row r="27" spans="2:12" x14ac:dyDescent="0.3">
      <c r="C27" s="20" t="s">
        <v>407</v>
      </c>
      <c r="D27" s="20"/>
      <c r="L27" s="142"/>
    </row>
    <row r="28" spans="2:12" x14ac:dyDescent="0.3">
      <c r="C28" t="s">
        <v>251</v>
      </c>
      <c r="H28" s="22">
        <f ca="1">H22/H25</f>
        <v>0.8865718935576411</v>
      </c>
      <c r="I28" s="22">
        <f t="shared" ref="I28:L28" ca="1" si="8">I22/I25</f>
        <v>0.89368256421352299</v>
      </c>
      <c r="J28" s="22">
        <f t="shared" ca="1" si="8"/>
        <v>0.89736043895244977</v>
      </c>
      <c r="K28" s="22">
        <f t="shared" ca="1" si="8"/>
        <v>0.89906047401785882</v>
      </c>
      <c r="L28" s="22">
        <f t="shared" ca="1" si="8"/>
        <v>0.90184047764080777</v>
      </c>
    </row>
    <row r="29" spans="2:12" x14ac:dyDescent="0.3">
      <c r="C29" t="s">
        <v>252</v>
      </c>
      <c r="H29" s="22">
        <f ca="1">H23/H25</f>
        <v>0.11021097402124971</v>
      </c>
      <c r="I29" s="22">
        <f t="shared" ref="I29:L29" ca="1" si="9">I23/I25</f>
        <v>0.10124211888188209</v>
      </c>
      <c r="J29" s="22">
        <f t="shared" ca="1" si="9"/>
        <v>9.5854687805247224E-2</v>
      </c>
      <c r="K29" s="22">
        <f t="shared" ca="1" si="9"/>
        <v>9.3054452770837112E-2</v>
      </c>
      <c r="L29" s="22">
        <f t="shared" ca="1" si="9"/>
        <v>8.9585114838303809E-2</v>
      </c>
    </row>
    <row r="30" spans="2:12" x14ac:dyDescent="0.3">
      <c r="C30" s="45" t="s">
        <v>248</v>
      </c>
      <c r="D30" s="45"/>
      <c r="E30" s="45"/>
      <c r="F30" s="45"/>
      <c r="G30" s="45"/>
      <c r="H30" s="122">
        <f ca="1">H24/H25</f>
        <v>3.2171324211091525E-3</v>
      </c>
      <c r="I30" s="122">
        <f t="shared" ref="I30:L30" ca="1" si="10">I24/I25</f>
        <v>5.0753169045948381E-3</v>
      </c>
      <c r="J30" s="122">
        <f t="shared" ca="1" si="10"/>
        <v>6.7848732423029957E-3</v>
      </c>
      <c r="K30" s="122">
        <f t="shared" ca="1" si="10"/>
        <v>7.8850732113041142E-3</v>
      </c>
      <c r="L30" s="122">
        <f t="shared" ca="1" si="10"/>
        <v>8.5744075208884669E-3</v>
      </c>
    </row>
    <row r="31" spans="2:12" x14ac:dyDescent="0.3">
      <c r="C31" s="2" t="s">
        <v>406</v>
      </c>
      <c r="D31" s="2"/>
      <c r="H31" s="123">
        <f ca="1">SUM(H28:H30)</f>
        <v>0.99999999999999989</v>
      </c>
      <c r="I31" s="123">
        <f t="shared" ref="I31:L31" ca="1" si="11">SUM(I28:I30)</f>
        <v>0.99999999999999989</v>
      </c>
      <c r="J31" s="123">
        <f t="shared" ca="1" si="11"/>
        <v>1</v>
      </c>
      <c r="K31" s="123">
        <f t="shared" ca="1" si="11"/>
        <v>1</v>
      </c>
      <c r="L31" s="123">
        <f t="shared" ca="1" si="11"/>
        <v>1</v>
      </c>
    </row>
    <row r="32" spans="2:12" x14ac:dyDescent="0.3">
      <c r="L32" s="142"/>
    </row>
    <row r="33" spans="2:12" x14ac:dyDescent="0.3">
      <c r="L33" s="142" t="str">
        <f>UPPER("Active scenario: "&amp;'Scenario Analysis'!$D$3)</f>
        <v>ACTIVE SCENARIO: BASE CASE</v>
      </c>
    </row>
    <row r="34" spans="2:12" x14ac:dyDescent="0.3">
      <c r="B34" t="s">
        <v>7</v>
      </c>
      <c r="C34" s="2" t="s">
        <v>408</v>
      </c>
      <c r="D34" s="2"/>
      <c r="L34" s="142"/>
    </row>
    <row r="35" spans="2:12" x14ac:dyDescent="0.3">
      <c r="C35" s="14" t="str">
        <f>Model!C12</f>
        <v>Fiscal year</v>
      </c>
      <c r="D35" s="6">
        <f>Model!D12</f>
        <v>2020</v>
      </c>
      <c r="E35" s="6">
        <f>Model!E12</f>
        <v>2021</v>
      </c>
      <c r="F35" s="6">
        <f>Model!F12</f>
        <v>2022</v>
      </c>
      <c r="G35" s="6">
        <f>Model!G12</f>
        <v>2023</v>
      </c>
      <c r="H35" s="7">
        <f>Model!H12</f>
        <v>2024</v>
      </c>
      <c r="I35" s="7">
        <f>Model!I12</f>
        <v>2025</v>
      </c>
      <c r="J35" s="7">
        <f>Model!J12</f>
        <v>2026</v>
      </c>
      <c r="K35" s="7">
        <f>Model!K12</f>
        <v>2027</v>
      </c>
      <c r="L35" s="7">
        <f>Model!L12</f>
        <v>2028</v>
      </c>
    </row>
    <row r="36" spans="2:12" x14ac:dyDescent="0.3">
      <c r="C36" s="8" t="str">
        <f>Model!C13</f>
        <v>Fiscal year end date</v>
      </c>
      <c r="D36" s="9">
        <f>Model!D13</f>
        <v>44196</v>
      </c>
      <c r="E36" s="9">
        <f>Model!E13</f>
        <v>44561</v>
      </c>
      <c r="F36" s="9">
        <f>Model!F13</f>
        <v>44926</v>
      </c>
      <c r="G36" s="9">
        <f>Model!G13</f>
        <v>45291</v>
      </c>
      <c r="H36" s="9">
        <f>Model!H13</f>
        <v>45657</v>
      </c>
      <c r="I36" s="9">
        <f>Model!I13</f>
        <v>46022</v>
      </c>
      <c r="J36" s="9">
        <f>Model!J13</f>
        <v>46387</v>
      </c>
      <c r="K36" s="9">
        <f>Model!K13</f>
        <v>46752</v>
      </c>
      <c r="L36" s="9">
        <f>Model!L13</f>
        <v>47118</v>
      </c>
    </row>
    <row r="37" spans="2:12" x14ac:dyDescent="0.3">
      <c r="C37" t="s">
        <v>251</v>
      </c>
      <c r="H37" s="121">
        <f ca="1">_xlfn.XLOOKUP(H$3,'Rubis Energies Division'!$3:$3,'Rubis Energies Division'!121:121)</f>
        <v>1241466.9019033271</v>
      </c>
      <c r="I37" s="121">
        <f ca="1">_xlfn.XLOOKUP(I$3,'Rubis Energies Division'!$3:$3,'Rubis Energies Division'!121:121)</f>
        <v>1218639.7521726231</v>
      </c>
      <c r="J37" s="121">
        <f ca="1">_xlfn.XLOOKUP(J$3,'Rubis Energies Division'!$3:$3,'Rubis Energies Division'!121:121)</f>
        <v>1310163.6877100994</v>
      </c>
      <c r="K37" s="121">
        <f ca="1">_xlfn.XLOOKUP(K$3,'Rubis Energies Division'!$3:$3,'Rubis Energies Division'!121:121)</f>
        <v>1531715.0614998296</v>
      </c>
      <c r="L37" s="121">
        <f ca="1">_xlfn.XLOOKUP(L$3,'Rubis Energies Division'!$3:$3,'Rubis Energies Division'!121:121)</f>
        <v>1811016.5021572709</v>
      </c>
    </row>
    <row r="38" spans="2:12" x14ac:dyDescent="0.3">
      <c r="C38" t="s">
        <v>252</v>
      </c>
      <c r="H38" s="121">
        <f ca="1">_xlfn.XLOOKUP(H$3,'Rubis Energies Division'!$3:$3,'Rubis Energies Division'!207:207)</f>
        <v>238516.80000000005</v>
      </c>
      <c r="I38" s="121">
        <f ca="1">_xlfn.XLOOKUP(I$3,'Rubis Energies Division'!$3:$3,'Rubis Energies Division'!207:207)</f>
        <v>238516.80000000005</v>
      </c>
      <c r="J38" s="121">
        <f ca="1">_xlfn.XLOOKUP(J$3,'Rubis Energies Division'!$3:$3,'Rubis Energies Division'!207:207)</f>
        <v>238516.79999999993</v>
      </c>
      <c r="K38" s="121">
        <f ca="1">_xlfn.XLOOKUP(K$3,'Rubis Energies Division'!$3:$3,'Rubis Energies Division'!207:207)</f>
        <v>238516.80000000005</v>
      </c>
      <c r="L38" s="121">
        <f ca="1">_xlfn.XLOOKUP(L$3,'Rubis Energies Division'!$3:$3,'Rubis Energies Division'!207:207)</f>
        <v>238516.80000000005</v>
      </c>
    </row>
    <row r="39" spans="2:12" x14ac:dyDescent="0.3">
      <c r="C39" s="45" t="s">
        <v>248</v>
      </c>
      <c r="D39" s="45"/>
      <c r="E39" s="45"/>
      <c r="F39" s="45"/>
      <c r="G39" s="45"/>
      <c r="H39" s="126">
        <f ca="1">_xlfn.XLOOKUP(H$3,'Rubis Energies Division'!$3:$3,'Renewables Division'!23:23)</f>
        <v>50919.250909090915</v>
      </c>
      <c r="I39" s="126">
        <f ca="1">_xlfn.XLOOKUP(I$3,'Rubis Energies Division'!$3:$3,'Renewables Division'!23:23)</f>
        <v>78374.127272727288</v>
      </c>
      <c r="J39" s="126">
        <f ca="1">_xlfn.XLOOKUP(J$3,'Rubis Energies Division'!$3:$3,'Renewables Division'!23:23)</f>
        <v>112399.81148325359</v>
      </c>
      <c r="K39" s="126">
        <f ca="1">_xlfn.XLOOKUP(K$3,'Rubis Energies Division'!$3:$3,'Renewables Division'!23:23)</f>
        <v>152805.31148325361</v>
      </c>
      <c r="L39" s="126">
        <f ca="1">_xlfn.XLOOKUP(L$3,'Rubis Energies Division'!$3:$3,'Renewables Division'!23:23)</f>
        <v>196441.23617224881</v>
      </c>
    </row>
    <row r="40" spans="2:12" x14ac:dyDescent="0.3">
      <c r="C40" s="2" t="s">
        <v>456</v>
      </c>
      <c r="D40" s="2"/>
      <c r="H40" s="11">
        <f ca="1">SUM(H37:H39)</f>
        <v>1530902.9528124181</v>
      </c>
      <c r="I40" s="11">
        <f t="shared" ref="I40:L40" ca="1" si="12">SUM(I37:I39)</f>
        <v>1535530.6794453503</v>
      </c>
      <c r="J40" s="11">
        <f t="shared" ca="1" si="12"/>
        <v>1661080.2991933527</v>
      </c>
      <c r="K40" s="11">
        <f t="shared" ca="1" si="12"/>
        <v>1923037.1729830834</v>
      </c>
      <c r="L40" s="11">
        <f t="shared" ca="1" si="12"/>
        <v>2245974.5383295198</v>
      </c>
    </row>
    <row r="41" spans="2:12" x14ac:dyDescent="0.3">
      <c r="L41" s="142"/>
    </row>
    <row r="42" spans="2:12" x14ac:dyDescent="0.3">
      <c r="C42" s="20" t="s">
        <v>409</v>
      </c>
      <c r="D42" s="20"/>
      <c r="L42" s="142"/>
    </row>
    <row r="43" spans="2:12" x14ac:dyDescent="0.3">
      <c r="C43" t="s">
        <v>251</v>
      </c>
      <c r="H43" s="22">
        <f ca="1">H37/H40</f>
        <v>0.81093768852077219</v>
      </c>
      <c r="I43" s="22">
        <f t="shared" ref="I43:L43" ca="1" si="13">I37/I40</f>
        <v>0.79362774608502673</v>
      </c>
      <c r="J43" s="22">
        <f t="shared" ca="1" si="13"/>
        <v>0.78874193399701142</v>
      </c>
      <c r="K43" s="22">
        <f t="shared" ca="1" si="13"/>
        <v>0.7965082958452534</v>
      </c>
      <c r="L43" s="22">
        <f t="shared" ca="1" si="13"/>
        <v>0.80633883922132255</v>
      </c>
    </row>
    <row r="44" spans="2:12" x14ac:dyDescent="0.3">
      <c r="C44" t="s">
        <v>252</v>
      </c>
      <c r="H44" s="22">
        <f ca="1">H38/H40</f>
        <v>0.15580138477218389</v>
      </c>
      <c r="I44" s="22">
        <f t="shared" ref="I44:L44" ca="1" si="14">I38/I40</f>
        <v>0.15533183621323332</v>
      </c>
      <c r="J44" s="22">
        <f t="shared" ca="1" si="14"/>
        <v>0.14359137250368181</v>
      </c>
      <c r="K44" s="22">
        <f t="shared" ca="1" si="14"/>
        <v>0.12403129973301781</v>
      </c>
      <c r="L44" s="22">
        <f t="shared" ca="1" si="14"/>
        <v>0.10619746392022805</v>
      </c>
    </row>
    <row r="45" spans="2:12" x14ac:dyDescent="0.3">
      <c r="C45" s="45" t="s">
        <v>248</v>
      </c>
      <c r="D45" s="45"/>
      <c r="E45" s="45"/>
      <c r="F45" s="45"/>
      <c r="G45" s="45"/>
      <c r="H45" s="122">
        <f ca="1">H39/H40</f>
        <v>3.3260926707043892E-2</v>
      </c>
      <c r="I45" s="122">
        <f t="shared" ref="I45:L45" ca="1" si="15">I39/I40</f>
        <v>5.104041770173999E-2</v>
      </c>
      <c r="J45" s="122">
        <f t="shared" ca="1" si="15"/>
        <v>6.7666693499306901E-2</v>
      </c>
      <c r="K45" s="122">
        <f t="shared" ca="1" si="15"/>
        <v>7.9460404421728678E-2</v>
      </c>
      <c r="L45" s="122">
        <f t="shared" ca="1" si="15"/>
        <v>8.7463696858449333E-2</v>
      </c>
    </row>
    <row r="46" spans="2:12" x14ac:dyDescent="0.3">
      <c r="C46" s="2" t="s">
        <v>456</v>
      </c>
      <c r="D46" s="2"/>
      <c r="H46" s="123">
        <f ca="1">SUM(H43:H45)</f>
        <v>1</v>
      </c>
      <c r="I46" s="123">
        <f t="shared" ref="I46:L46" ca="1" si="16">SUM(I43:I45)</f>
        <v>1</v>
      </c>
      <c r="J46" s="123">
        <f t="shared" ca="1" si="16"/>
        <v>1.0000000000000002</v>
      </c>
      <c r="K46" s="123">
        <f t="shared" ca="1" si="16"/>
        <v>0.99999999999999989</v>
      </c>
      <c r="L46" s="123">
        <f t="shared" ca="1" si="16"/>
        <v>0.99999999999999989</v>
      </c>
    </row>
    <row r="47" spans="2:12" x14ac:dyDescent="0.3">
      <c r="C47" s="2"/>
      <c r="D47" s="2"/>
      <c r="H47" s="123"/>
      <c r="I47" s="123"/>
      <c r="J47" s="123"/>
      <c r="K47" s="123"/>
      <c r="L47" s="123"/>
    </row>
    <row r="48" spans="2:12" x14ac:dyDescent="0.3">
      <c r="C48" s="20" t="s">
        <v>219</v>
      </c>
      <c r="D48" s="2"/>
    </row>
    <row r="49" spans="2:12" x14ac:dyDescent="0.3">
      <c r="C49" t="s">
        <v>251</v>
      </c>
      <c r="D49" s="2"/>
      <c r="H49" s="25">
        <f t="shared" ref="H49:L50" ca="1" si="17">H37/H5</f>
        <v>0.20974691145465357</v>
      </c>
      <c r="I49" s="25">
        <f t="shared" ca="1" si="17"/>
        <v>0.20943198051869447</v>
      </c>
      <c r="J49" s="25">
        <f t="shared" ca="1" si="17"/>
        <v>0.20910898391104582</v>
      </c>
      <c r="K49" s="25">
        <f t="shared" ca="1" si="17"/>
        <v>0.20869860400887308</v>
      </c>
      <c r="L49" s="25">
        <f t="shared" ca="1" si="17"/>
        <v>0.20820765746186198</v>
      </c>
    </row>
    <row r="50" spans="2:12" x14ac:dyDescent="0.3">
      <c r="C50" t="s">
        <v>252</v>
      </c>
      <c r="D50" s="2"/>
      <c r="H50" s="25">
        <f t="shared" ca="1" si="17"/>
        <v>0.23995758631525888</v>
      </c>
      <c r="I50" s="25">
        <f t="shared" ca="1" si="17"/>
        <v>0.25371079691953036</v>
      </c>
      <c r="J50" s="25">
        <f t="shared" ca="1" si="17"/>
        <v>0.25267551594982512</v>
      </c>
      <c r="K50" s="25">
        <f t="shared" ca="1" si="17"/>
        <v>0.2357996370739763</v>
      </c>
      <c r="L50" s="25">
        <f t="shared" ca="1" si="17"/>
        <v>0.21665263010404787</v>
      </c>
    </row>
    <row r="51" spans="2:12" x14ac:dyDescent="0.3">
      <c r="C51" s="45" t="s">
        <v>248</v>
      </c>
      <c r="D51" s="44"/>
      <c r="E51" s="45"/>
      <c r="F51" s="45"/>
      <c r="G51" s="45"/>
      <c r="H51" s="216">
        <f ca="1">H39/H7</f>
        <v>0.75</v>
      </c>
      <c r="I51" s="216">
        <f t="shared" ref="I51:L51" ca="1" si="18">I39/I7</f>
        <v>0.75</v>
      </c>
      <c r="J51" s="216">
        <f t="shared" ca="1" si="18"/>
        <v>0.75</v>
      </c>
      <c r="K51" s="216">
        <f t="shared" ca="1" si="18"/>
        <v>0.75000000000000011</v>
      </c>
      <c r="L51" s="216">
        <f t="shared" ca="1" si="18"/>
        <v>0.75</v>
      </c>
    </row>
    <row r="52" spans="2:12" x14ac:dyDescent="0.3">
      <c r="C52" s="2" t="s">
        <v>455</v>
      </c>
      <c r="D52" s="2"/>
      <c r="H52" s="217">
        <f ca="1">H40/H9</f>
        <v>0.21929800409494565</v>
      </c>
      <c r="I52" s="217">
        <f t="shared" ref="I52:L52" ca="1" si="19">I40/I9</f>
        <v>0.22372239158273108</v>
      </c>
      <c r="J52" s="217">
        <f t="shared" ca="1" si="19"/>
        <v>0.22570723087475947</v>
      </c>
      <c r="K52" s="217">
        <f t="shared" ca="1" si="19"/>
        <v>0.22479083859824547</v>
      </c>
      <c r="L52" s="217">
        <f t="shared" ca="1" si="19"/>
        <v>0.22323299326844553</v>
      </c>
    </row>
    <row r="53" spans="2:12" x14ac:dyDescent="0.3">
      <c r="C53" s="2"/>
      <c r="D53" s="2"/>
      <c r="L53" s="142"/>
    </row>
    <row r="54" spans="2:12" x14ac:dyDescent="0.3">
      <c r="L54" s="142" t="str">
        <f>UPPER("Active scenario: "&amp;'Scenario Analysis'!$D$3)</f>
        <v>ACTIVE SCENARIO: BASE CASE</v>
      </c>
    </row>
    <row r="55" spans="2:12" x14ac:dyDescent="0.3">
      <c r="B55" t="s">
        <v>7</v>
      </c>
      <c r="C55" s="2" t="s">
        <v>13</v>
      </c>
      <c r="D55" s="2"/>
    </row>
    <row r="56" spans="2:12" x14ac:dyDescent="0.3">
      <c r="C56" s="14" t="str">
        <f>Model!C12</f>
        <v>Fiscal year</v>
      </c>
      <c r="D56" s="6">
        <f>Model!D12</f>
        <v>2020</v>
      </c>
      <c r="E56" s="6">
        <f>Model!E12</f>
        <v>2021</v>
      </c>
      <c r="F56" s="6">
        <f>Model!F12</f>
        <v>2022</v>
      </c>
      <c r="G56" s="6">
        <f>Model!G12</f>
        <v>2023</v>
      </c>
      <c r="H56" s="7">
        <f>Model!H12</f>
        <v>2024</v>
      </c>
      <c r="I56" s="7">
        <f>Model!I12</f>
        <v>2025</v>
      </c>
      <c r="J56" s="7">
        <f>Model!J12</f>
        <v>2026</v>
      </c>
      <c r="K56" s="7">
        <f>Model!K12</f>
        <v>2027</v>
      </c>
      <c r="L56" s="7">
        <f>Model!L12</f>
        <v>2028</v>
      </c>
    </row>
    <row r="57" spans="2:12" x14ac:dyDescent="0.3">
      <c r="C57" s="8" t="str">
        <f>Model!C13</f>
        <v>Fiscal year end date</v>
      </c>
      <c r="D57" s="9">
        <f>Model!D13</f>
        <v>44196</v>
      </c>
      <c r="E57" s="9">
        <f>Model!E13</f>
        <v>44561</v>
      </c>
      <c r="F57" s="9">
        <f>Model!F13</f>
        <v>44926</v>
      </c>
      <c r="G57" s="9">
        <f>Model!G13</f>
        <v>45291</v>
      </c>
      <c r="H57" s="9">
        <f>Model!H13</f>
        <v>45657</v>
      </c>
      <c r="I57" s="9">
        <f>Model!I13</f>
        <v>46022</v>
      </c>
      <c r="J57" s="9">
        <f>Model!J13</f>
        <v>46387</v>
      </c>
      <c r="K57" s="9">
        <f>Model!K13</f>
        <v>46752</v>
      </c>
      <c r="L57" s="9">
        <f>Model!L13</f>
        <v>47118</v>
      </c>
    </row>
    <row r="58" spans="2:12" x14ac:dyDescent="0.3">
      <c r="C58" t="s">
        <v>251</v>
      </c>
      <c r="D58" s="121">
        <f>_xlfn.XLOOKUP(D$3,'Rubis Energies Division'!$3:$3,'Rubis Energies Division'!160:160)</f>
        <v>370000</v>
      </c>
      <c r="E58" s="121">
        <f>_xlfn.XLOOKUP(E$3,'Rubis Energies Division'!$3:$3,'Rubis Energies Division'!160:160)</f>
        <v>386000</v>
      </c>
      <c r="F58" s="121">
        <f>_xlfn.XLOOKUP(F$3,'Rubis Energies Division'!$3:$3,'Rubis Energies Division'!160:160)</f>
        <v>504000</v>
      </c>
      <c r="G58" s="121">
        <f>_xlfn.XLOOKUP(G$3,'Rubis Energies Division'!$3:$3,'Rubis Energies Division'!160:160)</f>
        <v>576000</v>
      </c>
      <c r="H58" s="121">
        <f ca="1">_xlfn.XLOOKUP(H$3,'Rubis Energies Division'!$3:$3,'Rubis Energies Division'!160:160)</f>
        <v>575445.06599988975</v>
      </c>
      <c r="I58" s="121">
        <f ca="1">_xlfn.XLOOKUP(I$3,'Rubis Energies Division'!$3:$3,'Rubis Energies Division'!160:160)</f>
        <v>565534.20349920786</v>
      </c>
      <c r="J58" s="121">
        <f ca="1">_xlfn.XLOOKUP(J$3,'Rubis Energies Division'!$3:$3,'Rubis Energies Division'!160:160)</f>
        <v>608924.6832418713</v>
      </c>
      <c r="K58" s="121">
        <f ca="1">_xlfn.XLOOKUP(K$3,'Rubis Energies Division'!$3:$3,'Rubis Energies Division'!160:160)</f>
        <v>713221.27144113369</v>
      </c>
      <c r="L58" s="121">
        <f ca="1">_xlfn.XLOOKUP(L$3,'Rubis Energies Division'!$3:$3,'Rubis Energies Division'!160:160)</f>
        <v>845146.21968845185</v>
      </c>
    </row>
    <row r="59" spans="2:12" x14ac:dyDescent="0.3">
      <c r="C59" t="s">
        <v>252</v>
      </c>
      <c r="D59" s="121">
        <f>_xlfn.XLOOKUP(D$3,'Rubis Energies Division'!$3:$3,'Rubis Energies Division'!213:213)</f>
        <v>84000</v>
      </c>
      <c r="E59" s="121">
        <f>_xlfn.XLOOKUP(E$3,'Rubis Energies Division'!$3:$3,'Rubis Energies Division'!213:213)</f>
        <v>46000</v>
      </c>
      <c r="F59" s="121">
        <f>_xlfn.XLOOKUP(F$3,'Rubis Energies Division'!$3:$3,'Rubis Energies Division'!213:213)</f>
        <v>74000</v>
      </c>
      <c r="G59" s="121">
        <f>_xlfn.XLOOKUP(G$3,'Rubis Energies Division'!$3:$3,'Rubis Energies Division'!213:213)</f>
        <v>51000</v>
      </c>
      <c r="H59" s="121">
        <f>_xlfn.XLOOKUP(H$3,'Rubis Energies Division'!$3:$3,'Rubis Energies Division'!213:213)</f>
        <v>51000</v>
      </c>
      <c r="I59" s="121">
        <f>_xlfn.XLOOKUP(I$3,'Rubis Energies Division'!$3:$3,'Rubis Energies Division'!213:213)</f>
        <v>51000</v>
      </c>
      <c r="J59" s="121">
        <f>_xlfn.XLOOKUP(J$3,'Rubis Energies Division'!$3:$3,'Rubis Energies Division'!213:213)</f>
        <v>51000</v>
      </c>
      <c r="K59" s="121">
        <f>_xlfn.XLOOKUP(K$3,'Rubis Energies Division'!$3:$3,'Rubis Energies Division'!213:213)</f>
        <v>51000</v>
      </c>
      <c r="L59" s="121">
        <f>_xlfn.XLOOKUP(L$3,'Rubis Energies Division'!$3:$3,'Rubis Energies Division'!213:213)</f>
        <v>51000</v>
      </c>
    </row>
    <row r="60" spans="2:12" x14ac:dyDescent="0.3">
      <c r="C60" s="45" t="s">
        <v>248</v>
      </c>
      <c r="D60" s="126">
        <f>_xlfn.XLOOKUP(D$3,'Rubis Energies Division'!$3:$3,'Renewables Division'!25:25)</f>
        <v>0</v>
      </c>
      <c r="E60" s="126">
        <f>_xlfn.XLOOKUP(E$3,'Rubis Energies Division'!$3:$3,'Renewables Division'!25:25)</f>
        <v>0</v>
      </c>
      <c r="F60" s="126">
        <f>_xlfn.XLOOKUP(F$3,'Rubis Energies Division'!$3:$3,'Renewables Division'!25:25)</f>
        <v>18000</v>
      </c>
      <c r="G60" s="126">
        <f>_xlfn.XLOOKUP(G$3,'Rubis Energies Division'!$3:$3,'Renewables Division'!25:25)</f>
        <v>29000</v>
      </c>
      <c r="H60" s="126">
        <f ca="1">_xlfn.XLOOKUP(H$3,'Rubis Energies Division'!$3:$3,'Renewables Division'!25:25)</f>
        <v>40735.400727272725</v>
      </c>
      <c r="I60" s="126">
        <f ca="1">_xlfn.XLOOKUP(I$3,'Rubis Energies Division'!$3:$3,'Renewables Division'!25:25)</f>
        <v>63744.290181818193</v>
      </c>
      <c r="J60" s="126">
        <f ca="1">_xlfn.XLOOKUP(J$3,'Rubis Energies Division'!$3:$3,'Renewables Division'!25:25)</f>
        <v>92917.177492822972</v>
      </c>
      <c r="K60" s="126">
        <f ca="1">_xlfn.XLOOKUP(K$3,'Rubis Energies Division'!$3:$3,'Renewables Division'!25:25)</f>
        <v>128356.46164593301</v>
      </c>
      <c r="L60" s="126">
        <f ca="1">_xlfn.XLOOKUP(L$3,'Rubis Energies Division'!$3:$3,'Renewables Division'!25:25)</f>
        <v>167629.85486698567</v>
      </c>
    </row>
    <row r="61" spans="2:12" x14ac:dyDescent="0.3">
      <c r="C61" s="2" t="s">
        <v>264</v>
      </c>
      <c r="D61" s="11">
        <f>SUM(D58:D60)</f>
        <v>454000</v>
      </c>
      <c r="E61" s="11">
        <f>SUM(E58:E60)</f>
        <v>432000</v>
      </c>
      <c r="F61" s="11">
        <f t="shared" ref="F61:L61" si="20">SUM(F58:F60)</f>
        <v>596000</v>
      </c>
      <c r="G61" s="11">
        <f t="shared" si="20"/>
        <v>656000</v>
      </c>
      <c r="H61" s="11">
        <f t="shared" ca="1" si="20"/>
        <v>667180.46672716248</v>
      </c>
      <c r="I61" s="11">
        <f t="shared" ca="1" si="20"/>
        <v>680278.49368102604</v>
      </c>
      <c r="J61" s="11">
        <f t="shared" ca="1" si="20"/>
        <v>752841.86073469429</v>
      </c>
      <c r="K61" s="11">
        <f t="shared" ca="1" si="20"/>
        <v>892577.73308706668</v>
      </c>
      <c r="L61" s="11">
        <f t="shared" ca="1" si="20"/>
        <v>1063776.0745554375</v>
      </c>
    </row>
    <row r="63" spans="2:12" x14ac:dyDescent="0.3">
      <c r="C63" s="20" t="s">
        <v>277</v>
      </c>
      <c r="D63" s="20"/>
    </row>
    <row r="64" spans="2:12" x14ac:dyDescent="0.3">
      <c r="C64" t="s">
        <v>251</v>
      </c>
      <c r="D64" s="22">
        <f>D58/D61</f>
        <v>0.81497797356828194</v>
      </c>
      <c r="E64" s="22">
        <f>E58/E61</f>
        <v>0.89351851851851849</v>
      </c>
      <c r="F64" s="22">
        <f t="shared" ref="F64:G64" si="21">F58/F61</f>
        <v>0.84563758389261745</v>
      </c>
      <c r="G64" s="22">
        <f t="shared" si="21"/>
        <v>0.87804878048780488</v>
      </c>
      <c r="H64" s="22">
        <f t="shared" ref="H64:L64" ca="1" si="22">H58/H61</f>
        <v>0.86250286796123021</v>
      </c>
      <c r="I64" s="22">
        <f t="shared" ca="1" si="22"/>
        <v>0.83132747654430428</v>
      </c>
      <c r="J64" s="22">
        <f t="shared" ca="1" si="22"/>
        <v>0.80883478324069946</v>
      </c>
      <c r="K64" s="22">
        <f t="shared" ca="1" si="22"/>
        <v>0.79905788034212855</v>
      </c>
      <c r="L64" s="22">
        <f t="shared" ca="1" si="22"/>
        <v>0.7944775596138941</v>
      </c>
    </row>
    <row r="65" spans="3:12" x14ac:dyDescent="0.3">
      <c r="C65" t="s">
        <v>252</v>
      </c>
      <c r="D65" s="22">
        <f>D59/D61</f>
        <v>0.18502202643171806</v>
      </c>
      <c r="E65" s="22">
        <f>E59/E61</f>
        <v>0.10648148148148148</v>
      </c>
      <c r="F65" s="22">
        <f t="shared" ref="F65:G65" si="23">F59/F61</f>
        <v>0.12416107382550336</v>
      </c>
      <c r="G65" s="22">
        <f t="shared" si="23"/>
        <v>7.774390243902439E-2</v>
      </c>
      <c r="H65" s="22">
        <f t="shared" ref="H65:L65" ca="1" si="24">H59/H61</f>
        <v>7.6441086847430131E-2</v>
      </c>
      <c r="I65" s="22">
        <f t="shared" ca="1" si="24"/>
        <v>7.4969296359842369E-2</v>
      </c>
      <c r="J65" s="22">
        <f t="shared" ca="1" si="24"/>
        <v>6.7743310594112524E-2</v>
      </c>
      <c r="K65" s="22">
        <f t="shared" ca="1" si="24"/>
        <v>5.7137880667952085E-2</v>
      </c>
      <c r="L65" s="22">
        <f t="shared" ca="1" si="24"/>
        <v>4.7942420608879925E-2</v>
      </c>
    </row>
    <row r="66" spans="3:12" x14ac:dyDescent="0.3">
      <c r="C66" s="45" t="s">
        <v>248</v>
      </c>
      <c r="D66" s="122">
        <f>D60/D61</f>
        <v>0</v>
      </c>
      <c r="E66" s="122">
        <f>E60/E61</f>
        <v>0</v>
      </c>
      <c r="F66" s="122">
        <f t="shared" ref="F66:G66" si="25">F60/F61</f>
        <v>3.0201342281879196E-2</v>
      </c>
      <c r="G66" s="122">
        <f t="shared" si="25"/>
        <v>4.4207317073170729E-2</v>
      </c>
      <c r="H66" s="122">
        <f t="shared" ref="H66:L66" ca="1" si="26">H60/H61</f>
        <v>6.105604519133967E-2</v>
      </c>
      <c r="I66" s="122">
        <f t="shared" ca="1" si="26"/>
        <v>9.3703227095853311E-2</v>
      </c>
      <c r="J66" s="122">
        <f t="shared" ca="1" si="26"/>
        <v>0.123421906165188</v>
      </c>
      <c r="K66" s="122">
        <f t="shared" ca="1" si="26"/>
        <v>0.1438042389899194</v>
      </c>
      <c r="L66" s="122">
        <f t="shared" ca="1" si="26"/>
        <v>0.15758001977722599</v>
      </c>
    </row>
    <row r="67" spans="3:12" x14ac:dyDescent="0.3">
      <c r="C67" s="2" t="s">
        <v>264</v>
      </c>
      <c r="D67" s="217">
        <f>SUM(D64:D66)</f>
        <v>1</v>
      </c>
      <c r="E67" s="217">
        <f>SUM(E64:E66)</f>
        <v>1</v>
      </c>
      <c r="F67" s="217">
        <f t="shared" ref="F67:G67" si="27">SUM(F64:F66)</f>
        <v>1</v>
      </c>
      <c r="G67" s="217">
        <f t="shared" si="27"/>
        <v>1</v>
      </c>
      <c r="H67" s="217">
        <f t="shared" ref="H67" ca="1" si="28">SUM(H64:H66)</f>
        <v>1</v>
      </c>
      <c r="I67" s="217">
        <f t="shared" ref="I67" ca="1" si="29">SUM(I64:I66)</f>
        <v>1</v>
      </c>
      <c r="J67" s="217">
        <f t="shared" ref="J67" ca="1" si="30">SUM(J64:J66)</f>
        <v>1</v>
      </c>
      <c r="K67" s="217">
        <f t="shared" ref="K67" ca="1" si="31">SUM(K64:K66)</f>
        <v>1</v>
      </c>
      <c r="L67" s="217">
        <f t="shared" ref="L67" ca="1" si="32">SUM(L64:L66)</f>
        <v>1</v>
      </c>
    </row>
    <row r="69" spans="3:12" x14ac:dyDescent="0.3">
      <c r="C69" s="20" t="s">
        <v>230</v>
      </c>
      <c r="D69" s="20"/>
    </row>
    <row r="70" spans="3:12" x14ac:dyDescent="0.3">
      <c r="C70" t="s">
        <v>251</v>
      </c>
      <c r="D70" s="117">
        <f t="shared" ref="D70" si="33">D58/D5</f>
        <v>0.1109892229464519</v>
      </c>
      <c r="E70" s="117">
        <f t="shared" ref="E70:L71" si="34">E58/E5</f>
        <v>9.6671301546340113E-2</v>
      </c>
      <c r="F70" s="117">
        <f t="shared" si="34"/>
        <v>8.315764081773E-2</v>
      </c>
      <c r="G70" s="117">
        <f t="shared" si="34"/>
        <v>0.1038033287348699</v>
      </c>
      <c r="H70" s="117">
        <f t="shared" ca="1" si="34"/>
        <v>9.7221943750776599E-2</v>
      </c>
      <c r="I70" s="117">
        <f t="shared" ca="1" si="34"/>
        <v>9.7191108429494313E-2</v>
      </c>
      <c r="J70" s="117">
        <f t="shared" ca="1" si="34"/>
        <v>9.7187567466178987E-2</v>
      </c>
      <c r="K70" s="117">
        <f t="shared" ca="1" si="34"/>
        <v>9.7177528275688818E-2</v>
      </c>
      <c r="L70" s="117">
        <f t="shared" ca="1" si="34"/>
        <v>9.7164169627649066E-2</v>
      </c>
    </row>
    <row r="71" spans="3:12" x14ac:dyDescent="0.3">
      <c r="C71" t="s">
        <v>252</v>
      </c>
      <c r="D71" s="117">
        <f t="shared" ref="D71" si="35">D59/D6</f>
        <v>0.14796938442974536</v>
      </c>
      <c r="E71" s="117">
        <f t="shared" si="34"/>
        <v>7.7144059823541347E-2</v>
      </c>
      <c r="F71" s="117">
        <f t="shared" si="34"/>
        <v>7.1067881351211712E-2</v>
      </c>
      <c r="G71" s="117">
        <f t="shared" si="34"/>
        <v>4.9405630885687966E-2</v>
      </c>
      <c r="H71" s="117">
        <f t="shared" ca="1" si="34"/>
        <v>5.1308070970590751E-2</v>
      </c>
      <c r="I71" s="117">
        <f t="shared" ca="1" si="34"/>
        <v>5.4248801941398035E-2</v>
      </c>
      <c r="J71" s="117">
        <f t="shared" ca="1" si="34"/>
        <v>5.4027436698132314E-2</v>
      </c>
      <c r="K71" s="117">
        <f t="shared" ca="1" si="34"/>
        <v>5.0419012374695572E-2</v>
      </c>
      <c r="L71" s="117">
        <f t="shared" ca="1" si="34"/>
        <v>4.6324972225463529E-2</v>
      </c>
    </row>
    <row r="72" spans="3:12" x14ac:dyDescent="0.3">
      <c r="C72" s="45" t="s">
        <v>248</v>
      </c>
      <c r="D72" s="127" t="str">
        <f t="shared" ref="D72" si="36">IFERROR(D60/D7,"nm")</f>
        <v>nm</v>
      </c>
      <c r="E72" s="127" t="str">
        <f t="shared" ref="E72:L72" si="37">IFERROR(E60/E7,"nm")</f>
        <v>nm</v>
      </c>
      <c r="F72" s="127">
        <f t="shared" si="37"/>
        <v>0.55285951225505248</v>
      </c>
      <c r="G72" s="127">
        <f t="shared" si="37"/>
        <v>0.59622936326815934</v>
      </c>
      <c r="H72" s="127">
        <f t="shared" ca="1" si="37"/>
        <v>0.6</v>
      </c>
      <c r="I72" s="127">
        <f t="shared" ca="1" si="37"/>
        <v>0.61</v>
      </c>
      <c r="J72" s="127">
        <f t="shared" ca="1" si="37"/>
        <v>0.62</v>
      </c>
      <c r="K72" s="127">
        <f t="shared" ca="1" si="37"/>
        <v>0.63</v>
      </c>
      <c r="L72" s="127">
        <f t="shared" ca="1" si="37"/>
        <v>0.64</v>
      </c>
    </row>
    <row r="73" spans="3:12" x14ac:dyDescent="0.3">
      <c r="C73" s="2" t="s">
        <v>457</v>
      </c>
      <c r="D73" s="217">
        <f t="shared" ref="D73" si="38">D61/D9</f>
        <v>0.11635049998680165</v>
      </c>
      <c r="E73" s="217">
        <f t="shared" ref="E73:L73" si="39">E61/E9</f>
        <v>9.4129008163512551E-2</v>
      </c>
      <c r="F73" s="217">
        <f t="shared" si="39"/>
        <v>8.3535069592001271E-2</v>
      </c>
      <c r="G73" s="217">
        <f t="shared" si="39"/>
        <v>9.8944879557233731E-2</v>
      </c>
      <c r="H73" s="217">
        <f t="shared" ca="1" si="39"/>
        <v>9.5571926656495637E-2</v>
      </c>
      <c r="I73" s="217">
        <f t="shared" ca="1" si="39"/>
        <v>9.9114614631855377E-2</v>
      </c>
      <c r="J73" s="217">
        <f t="shared" ca="1" si="39"/>
        <v>0.1022959887944887</v>
      </c>
      <c r="K73" s="217">
        <f t="shared" ca="1" si="39"/>
        <v>0.10433667115416061</v>
      </c>
      <c r="L73" s="217">
        <f t="shared" ca="1" si="39"/>
        <v>0.10573134879213258</v>
      </c>
    </row>
    <row r="75" spans="3:12" x14ac:dyDescent="0.3">
      <c r="L75" s="142" t="str">
        <f>UPPER("Active scenario: "&amp;'Scenario Analysis'!$D$3)</f>
        <v>ACTIVE SCENARIO: BASE CASE</v>
      </c>
    </row>
    <row r="76" spans="3:12" x14ac:dyDescent="0.3">
      <c r="C76" s="2"/>
      <c r="D76" s="2"/>
    </row>
  </sheetData>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787B1-E875-4BB1-8A51-A82CA7E38EE6}">
  <sheetPr codeName="Sheet4"/>
  <dimension ref="C3:K121"/>
  <sheetViews>
    <sheetView topLeftCell="A22" workbookViewId="0">
      <selection activeCell="G43" sqref="G43"/>
    </sheetView>
  </sheetViews>
  <sheetFormatPr defaultRowHeight="14.4" x14ac:dyDescent="0.3"/>
  <cols>
    <col min="1" max="2" width="1.77734375" customWidth="1"/>
    <col min="3" max="3" width="35.5546875" customWidth="1"/>
    <col min="4" max="4" width="11.77734375" bestFit="1" customWidth="1"/>
    <col min="6" max="6" width="8.88671875" style="42"/>
    <col min="7" max="11" width="11.21875" bestFit="1" customWidth="1"/>
    <col min="12" max="12" width="1.77734375" customWidth="1"/>
  </cols>
  <sheetData>
    <row r="3" spans="3:11" x14ac:dyDescent="0.3">
      <c r="C3" s="2" t="s">
        <v>187</v>
      </c>
      <c r="D3" s="1" t="s">
        <v>200</v>
      </c>
      <c r="F3" s="102" t="s">
        <v>258</v>
      </c>
      <c r="G3" s="7">
        <f>Model!H12</f>
        <v>2024</v>
      </c>
      <c r="H3" s="7">
        <f>Model!I12</f>
        <v>2025</v>
      </c>
      <c r="I3" s="7">
        <f>Model!J12</f>
        <v>2026</v>
      </c>
      <c r="J3" s="7">
        <f>Model!K12</f>
        <v>2027</v>
      </c>
      <c r="K3" s="7">
        <f>Model!L12</f>
        <v>2028</v>
      </c>
    </row>
    <row r="4" spans="3:11" x14ac:dyDescent="0.3">
      <c r="F4" s="103" t="s">
        <v>200</v>
      </c>
      <c r="G4" s="9">
        <f>Model!H13</f>
        <v>45657</v>
      </c>
      <c r="H4" s="9">
        <f>Model!I13</f>
        <v>46022</v>
      </c>
      <c r="I4" s="9">
        <f>Model!J13</f>
        <v>46387</v>
      </c>
      <c r="J4" s="9">
        <f>Model!K13</f>
        <v>46752</v>
      </c>
      <c r="K4" s="9">
        <f>Model!L13</f>
        <v>47118</v>
      </c>
    </row>
    <row r="5" spans="3:11" x14ac:dyDescent="0.3">
      <c r="C5" t="str">
        <f>C26</f>
        <v>Brent price (USD per barrel, scenario analysis output)</v>
      </c>
      <c r="F5" s="103" t="s">
        <v>201</v>
      </c>
      <c r="G5" s="133">
        <f t="shared" ref="G5:K18" ca="1" si="0">OFFSET(G$26,MATCH($C5,$C$26:$C$120,0)+MATCH($D$3,$C$27:$C$30,0)-1,0)</f>
        <v>84.799012345679017</v>
      </c>
      <c r="H5" s="133">
        <f t="shared" ca="1" si="0"/>
        <v>78.560740740740755</v>
      </c>
      <c r="I5" s="133">
        <f t="shared" ca="1" si="0"/>
        <v>79.407000000000011</v>
      </c>
      <c r="J5" s="133">
        <f t="shared" ca="1" si="0"/>
        <v>86.830833333333345</v>
      </c>
      <c r="K5" s="133">
        <f t="shared" ca="1" si="0"/>
        <v>95.418000000000006</v>
      </c>
    </row>
    <row r="6" spans="3:11" x14ac:dyDescent="0.3">
      <c r="C6" t="str">
        <f>C31</f>
        <v>Volumes '000s m3 (scenario analysis output), Europe</v>
      </c>
      <c r="F6" s="103" t="s">
        <v>201</v>
      </c>
      <c r="G6" s="138">
        <f t="shared" ca="1" si="0"/>
        <v>883.35322518869293</v>
      </c>
      <c r="H6" s="138">
        <f t="shared" ca="1" si="0"/>
        <v>907.08558984267916</v>
      </c>
      <c r="I6" s="138">
        <f t="shared" ca="1" si="0"/>
        <v>933.21694147829442</v>
      </c>
      <c r="J6" s="138">
        <f t="shared" ca="1" si="0"/>
        <v>954.66858518293611</v>
      </c>
      <c r="K6" s="138">
        <f t="shared" ca="1" si="0"/>
        <v>971.47857025804387</v>
      </c>
    </row>
    <row r="7" spans="3:11" x14ac:dyDescent="0.3">
      <c r="C7" t="str">
        <f>C36</f>
        <v>Volumes '000s m3 (scenario analysis output), Caribbean</v>
      </c>
      <c r="F7" s="103" t="s">
        <v>201</v>
      </c>
      <c r="G7" s="138">
        <f t="shared" ca="1" si="0"/>
        <v>2278.4061000000002</v>
      </c>
      <c r="H7" s="138">
        <f t="shared" ca="1" si="0"/>
        <v>2374.5464940000006</v>
      </c>
      <c r="I7" s="138">
        <f t="shared" ca="1" si="0"/>
        <v>2473.7233010300001</v>
      </c>
      <c r="J7" s="138">
        <f t="shared" ca="1" si="0"/>
        <v>2575.7834617927001</v>
      </c>
      <c r="K7" s="138">
        <f t="shared" ca="1" si="0"/>
        <v>2682.6839167329022</v>
      </c>
    </row>
    <row r="8" spans="3:11" x14ac:dyDescent="0.3">
      <c r="C8" t="str">
        <f>C41</f>
        <v>Volumes '000s m3 (scenario analysis output), Africa</v>
      </c>
      <c r="F8" s="103" t="s">
        <v>201</v>
      </c>
      <c r="G8" s="138">
        <f t="shared" ca="1" si="0"/>
        <v>2814.2953900000002</v>
      </c>
      <c r="H8" s="138">
        <f t="shared" ca="1" si="0"/>
        <v>3066.9243627699998</v>
      </c>
      <c r="I8" s="138">
        <f t="shared" ca="1" si="0"/>
        <v>3365.2164124804099</v>
      </c>
      <c r="J8" s="138">
        <f t="shared" ca="1" si="0"/>
        <v>3736.3164662611625</v>
      </c>
      <c r="K8" s="138">
        <f t="shared" ca="1" si="0"/>
        <v>4198.4182274506429</v>
      </c>
    </row>
    <row r="9" spans="3:11" x14ac:dyDescent="0.3">
      <c r="C9" t="str">
        <f>C46</f>
        <v>Gross margin, Europe</v>
      </c>
      <c r="F9" s="103" t="s">
        <v>201</v>
      </c>
      <c r="G9" s="137">
        <f t="shared" ca="1" si="0"/>
        <v>0.27</v>
      </c>
      <c r="H9" s="137">
        <f t="shared" ca="1" si="0"/>
        <v>0.27</v>
      </c>
      <c r="I9" s="137">
        <f t="shared" ca="1" si="0"/>
        <v>0.27</v>
      </c>
      <c r="J9" s="137">
        <f t="shared" ca="1" si="0"/>
        <v>0.27</v>
      </c>
      <c r="K9" s="137">
        <f t="shared" ca="1" si="0"/>
        <v>0.27</v>
      </c>
    </row>
    <row r="10" spans="3:11" x14ac:dyDescent="0.3">
      <c r="C10" t="str">
        <f>C51</f>
        <v>Gross margin, Caribbean</v>
      </c>
      <c r="F10" s="103" t="s">
        <v>201</v>
      </c>
      <c r="G10" s="137">
        <f t="shared" ca="1" si="0"/>
        <v>0.2</v>
      </c>
      <c r="H10" s="137">
        <f t="shared" ca="1" si="0"/>
        <v>0.2</v>
      </c>
      <c r="I10" s="137">
        <f t="shared" ca="1" si="0"/>
        <v>0.2</v>
      </c>
      <c r="J10" s="137">
        <f t="shared" ca="1" si="0"/>
        <v>0.2</v>
      </c>
      <c r="K10" s="137">
        <f t="shared" ca="1" si="0"/>
        <v>0.2</v>
      </c>
    </row>
    <row r="11" spans="3:11" x14ac:dyDescent="0.3">
      <c r="C11" t="str">
        <f>C56</f>
        <v>Gross margin, Africa</v>
      </c>
      <c r="F11" s="103" t="s">
        <v>201</v>
      </c>
      <c r="G11" s="137">
        <f t="shared" ca="1" si="0"/>
        <v>0.2</v>
      </c>
      <c r="H11" s="137">
        <f t="shared" ca="1" si="0"/>
        <v>0.2</v>
      </c>
      <c r="I11" s="137">
        <f t="shared" ca="1" si="0"/>
        <v>0.2</v>
      </c>
      <c r="J11" s="137">
        <f t="shared" ca="1" si="0"/>
        <v>0.2</v>
      </c>
      <c r="K11" s="137">
        <f t="shared" ca="1" si="0"/>
        <v>0.2</v>
      </c>
    </row>
    <row r="12" spans="3:11" x14ac:dyDescent="0.3">
      <c r="C12" t="str">
        <f>C61</f>
        <v>EBITDA margin, Europe</v>
      </c>
      <c r="F12" s="103" t="s">
        <v>201</v>
      </c>
      <c r="G12" s="137">
        <f t="shared" ca="1" si="0"/>
        <v>0.14000000000000001</v>
      </c>
      <c r="H12" s="137">
        <f t="shared" ca="1" si="0"/>
        <v>0.14000000000000001</v>
      </c>
      <c r="I12" s="137">
        <f t="shared" ca="1" si="0"/>
        <v>0.14000000000000001</v>
      </c>
      <c r="J12" s="137">
        <f t="shared" ca="1" si="0"/>
        <v>0.14000000000000001</v>
      </c>
      <c r="K12" s="137">
        <f t="shared" ca="1" si="0"/>
        <v>0.14000000000000001</v>
      </c>
    </row>
    <row r="13" spans="3:11" x14ac:dyDescent="0.3">
      <c r="C13" t="str">
        <f>C66</f>
        <v>EBITDA margin, Caribbean</v>
      </c>
      <c r="F13" s="103" t="s">
        <v>201</v>
      </c>
      <c r="G13" s="137">
        <f t="shared" ca="1" si="0"/>
        <v>0.08</v>
      </c>
      <c r="H13" s="137">
        <f t="shared" ca="1" si="0"/>
        <v>0.08</v>
      </c>
      <c r="I13" s="137">
        <f t="shared" ca="1" si="0"/>
        <v>0.08</v>
      </c>
      <c r="J13" s="137">
        <f t="shared" ca="1" si="0"/>
        <v>0.08</v>
      </c>
      <c r="K13" s="137">
        <f t="shared" ca="1" si="0"/>
        <v>0.08</v>
      </c>
    </row>
    <row r="14" spans="3:11" x14ac:dyDescent="0.3">
      <c r="C14" t="str">
        <f>C71</f>
        <v>EBITDA margin, Africa</v>
      </c>
      <c r="F14" s="103" t="s">
        <v>201</v>
      </c>
      <c r="G14" s="137">
        <f t="shared" ca="1" si="0"/>
        <v>0.1</v>
      </c>
      <c r="H14" s="137">
        <f t="shared" ca="1" si="0"/>
        <v>0.1</v>
      </c>
      <c r="I14" s="137">
        <f t="shared" ca="1" si="0"/>
        <v>0.1</v>
      </c>
      <c r="J14" s="137">
        <f t="shared" ca="1" si="0"/>
        <v>0.1</v>
      </c>
      <c r="K14" s="137">
        <f t="shared" ca="1" si="0"/>
        <v>0.1</v>
      </c>
    </row>
    <row r="15" spans="3:11" x14ac:dyDescent="0.3">
      <c r="C15" t="str">
        <f>C78</f>
        <v>Tanker industry gross margins</v>
      </c>
      <c r="F15" s="103" t="s">
        <v>201</v>
      </c>
      <c r="G15" s="137">
        <f t="shared" ca="1" si="0"/>
        <v>0.45</v>
      </c>
      <c r="H15" s="137">
        <f t="shared" ca="1" si="0"/>
        <v>0.45</v>
      </c>
      <c r="I15" s="137">
        <f t="shared" ca="1" si="0"/>
        <v>0.45</v>
      </c>
      <c r="J15" s="137">
        <f t="shared" ca="1" si="0"/>
        <v>0.45</v>
      </c>
      <c r="K15" s="137">
        <f t="shared" ca="1" si="0"/>
        <v>0.45</v>
      </c>
    </row>
    <row r="16" spans="3:11" x14ac:dyDescent="0.3">
      <c r="C16" t="str">
        <f>C83</f>
        <v>Refining Gross margin per barrel</v>
      </c>
      <c r="F16" s="103" t="s">
        <v>201</v>
      </c>
      <c r="G16" s="177">
        <f t="shared" ca="1" si="0"/>
        <v>37</v>
      </c>
      <c r="H16" s="177">
        <f t="shared" ca="1" si="0"/>
        <v>37</v>
      </c>
      <c r="I16" s="177">
        <f t="shared" ca="1" si="0"/>
        <v>37</v>
      </c>
      <c r="J16" s="177">
        <f t="shared" ca="1" si="0"/>
        <v>37</v>
      </c>
      <c r="K16" s="177">
        <f t="shared" ca="1" si="0"/>
        <v>37</v>
      </c>
    </row>
    <row r="17" spans="3:11" x14ac:dyDescent="0.3">
      <c r="C17" t="str">
        <f>C88</f>
        <v>EBITDA (Support and Services segment)</v>
      </c>
      <c r="F17" s="103" t="s">
        <v>201</v>
      </c>
      <c r="G17" s="171">
        <f t="shared" ca="1" si="0"/>
        <v>0.23</v>
      </c>
      <c r="H17" s="171">
        <f t="shared" ca="1" si="0"/>
        <v>0.23</v>
      </c>
      <c r="I17" s="171">
        <f t="shared" ca="1" si="0"/>
        <v>0.23</v>
      </c>
      <c r="J17" s="171">
        <f t="shared" ca="1" si="0"/>
        <v>0.23</v>
      </c>
      <c r="K17" s="171">
        <f t="shared" ca="1" si="0"/>
        <v>0.23</v>
      </c>
    </row>
    <row r="18" spans="3:11" x14ac:dyDescent="0.3">
      <c r="C18" t="str">
        <f>C93</f>
        <v>Baltic Dirty tanker Index (BDTI) Growth</v>
      </c>
      <c r="F18" s="103" t="s">
        <v>201</v>
      </c>
      <c r="G18" s="137">
        <f t="shared" ca="1" si="0"/>
        <v>0.1</v>
      </c>
      <c r="H18" s="137">
        <f t="shared" ca="1" si="0"/>
        <v>3.6999999999999998E-2</v>
      </c>
      <c r="I18" s="137">
        <f t="shared" ca="1" si="0"/>
        <v>-2.4E-2</v>
      </c>
      <c r="J18" s="137">
        <f t="shared" ca="1" si="0"/>
        <v>-2.4E-2</v>
      </c>
      <c r="K18" s="137">
        <f t="shared" ca="1" si="0"/>
        <v>-2.4E-2</v>
      </c>
    </row>
    <row r="19" spans="3:11" x14ac:dyDescent="0.3">
      <c r="F19" s="103" t="s">
        <v>201</v>
      </c>
    </row>
    <row r="20" spans="3:11" x14ac:dyDescent="0.3">
      <c r="C20" t="str">
        <f>C107</f>
        <v>Capacity utilization factor</v>
      </c>
      <c r="F20" s="103" t="s">
        <v>201</v>
      </c>
      <c r="G20" s="137">
        <f t="shared" ref="G20:K21" ca="1" si="1">OFFSET(G$26,MATCH($C20,$C$26:$C$120,0)+MATCH($D$3,$C$27:$C$30,0)-1,0)</f>
        <v>0.12</v>
      </c>
      <c r="H20" s="137">
        <f t="shared" ca="1" si="1"/>
        <v>0.12</v>
      </c>
      <c r="I20" s="137">
        <f t="shared" ca="1" si="1"/>
        <v>0.12</v>
      </c>
      <c r="J20" s="137">
        <f t="shared" ca="1" si="1"/>
        <v>0.12</v>
      </c>
      <c r="K20" s="137">
        <f t="shared" ca="1" si="1"/>
        <v>0.12</v>
      </c>
    </row>
    <row r="21" spans="3:11" x14ac:dyDescent="0.3">
      <c r="C21" t="str">
        <f>C102</f>
        <v>Average sales price per KWh</v>
      </c>
      <c r="F21" s="103" t="s">
        <v>201</v>
      </c>
      <c r="G21" s="174">
        <f t="shared" ca="1" si="1"/>
        <v>0.1</v>
      </c>
      <c r="H21" s="174">
        <f t="shared" ca="1" si="1"/>
        <v>0.1</v>
      </c>
      <c r="I21" s="174">
        <f t="shared" ca="1" si="1"/>
        <v>0.1</v>
      </c>
      <c r="J21" s="174">
        <f t="shared" ca="1" si="1"/>
        <v>0.1</v>
      </c>
      <c r="K21" s="174">
        <f t="shared" ca="1" si="1"/>
        <v>0.1</v>
      </c>
    </row>
    <row r="22" spans="3:11" x14ac:dyDescent="0.3">
      <c r="C22" t="str">
        <f>C112</f>
        <v>Gross Profit margin renewables division</v>
      </c>
      <c r="F22" s="103" t="s">
        <v>201</v>
      </c>
      <c r="G22" s="137">
        <f ca="1">OFFSET(G$26,MATCH($C22,$C$26:$C$120,0)+MATCH($D$3,$C$27:$C$30,0)-1,0)</f>
        <v>0.75</v>
      </c>
      <c r="H22" s="137">
        <f t="shared" ref="H22:K23" ca="1" si="2">OFFSET(H$26,MATCH($C22,$C$26:$C$120,0)+MATCH($D$3,$C$27:$C$30,0)-1,0)</f>
        <v>0.75</v>
      </c>
      <c r="I22" s="137">
        <f t="shared" ca="1" si="2"/>
        <v>0.75</v>
      </c>
      <c r="J22" s="137">
        <f t="shared" ca="1" si="2"/>
        <v>0.75</v>
      </c>
      <c r="K22" s="137">
        <f t="shared" ca="1" si="2"/>
        <v>0.75</v>
      </c>
    </row>
    <row r="23" spans="3:11" x14ac:dyDescent="0.3">
      <c r="C23" t="str">
        <f>C117</f>
        <v>EBITDA margin, renewables division</v>
      </c>
      <c r="F23" s="103" t="s">
        <v>201</v>
      </c>
      <c r="G23" s="137">
        <f ca="1">OFFSET(G$26,MATCH($C23,$C$26:$C$120,0)+MATCH($D$3,$C$27:$C$30,0)-1,0)</f>
        <v>0.6</v>
      </c>
      <c r="H23" s="137">
        <f t="shared" ca="1" si="2"/>
        <v>0.61</v>
      </c>
      <c r="I23" s="137">
        <f t="shared" ca="1" si="2"/>
        <v>0.62</v>
      </c>
      <c r="J23" s="137">
        <f t="shared" ca="1" si="2"/>
        <v>0.63</v>
      </c>
      <c r="K23" s="137">
        <f t="shared" ca="1" si="2"/>
        <v>0.64</v>
      </c>
    </row>
    <row r="24" spans="3:11" x14ac:dyDescent="0.3">
      <c r="F24" s="103"/>
      <c r="G24" s="171"/>
      <c r="H24" s="171"/>
      <c r="I24" s="171"/>
      <c r="J24" s="171"/>
      <c r="K24" s="171"/>
    </row>
    <row r="25" spans="3:11" x14ac:dyDescent="0.3">
      <c r="C25" s="2" t="s">
        <v>259</v>
      </c>
      <c r="F25" s="103"/>
    </row>
    <row r="26" spans="3:11" x14ac:dyDescent="0.3">
      <c r="C26" s="2" t="str">
        <f>'Rubis Energies Division'!C220</f>
        <v>Brent price (USD per barrel, scenario analysis output)</v>
      </c>
      <c r="F26" s="103"/>
    </row>
    <row r="27" spans="3:11" x14ac:dyDescent="0.3">
      <c r="C27" s="28" t="s">
        <v>374</v>
      </c>
      <c r="F27" s="139">
        <v>-0.1</v>
      </c>
      <c r="G27" s="133">
        <f>G28*(1+$F$27)</f>
        <v>76.319111111111113</v>
      </c>
      <c r="H27" s="133">
        <f t="shared" ref="H27:K27" si="3">H28*(1+$F$27)</f>
        <v>70.704666666666682</v>
      </c>
      <c r="I27" s="133">
        <f t="shared" si="3"/>
        <v>71.466300000000018</v>
      </c>
      <c r="J27" s="133">
        <f t="shared" si="3"/>
        <v>78.147750000000016</v>
      </c>
      <c r="K27" s="133">
        <f t="shared" si="3"/>
        <v>85.876200000000011</v>
      </c>
    </row>
    <row r="28" spans="3:11" x14ac:dyDescent="0.3">
      <c r="C28" s="28" t="s">
        <v>200</v>
      </c>
      <c r="F28" s="103" t="s">
        <v>201</v>
      </c>
      <c r="G28" s="158">
        <f>_xlfn.XLOOKUP(G$3,'Rubis Energies Division'!217:217,'Rubis Energies Division'!230:230)</f>
        <v>84.799012345679017</v>
      </c>
      <c r="H28" s="158">
        <f>_xlfn.XLOOKUP(H$3,'Rubis Energies Division'!217:217,'Rubis Energies Division'!230:230)</f>
        <v>78.560740740740755</v>
      </c>
      <c r="I28" s="158">
        <f>_xlfn.XLOOKUP(I$3,'Rubis Energies Division'!217:217,'Rubis Energies Division'!230:230)</f>
        <v>79.407000000000011</v>
      </c>
      <c r="J28" s="158">
        <f>_xlfn.XLOOKUP(J$3,'Rubis Energies Division'!217:217,'Rubis Energies Division'!230:230)</f>
        <v>86.830833333333345</v>
      </c>
      <c r="K28" s="158">
        <f>_xlfn.XLOOKUP(K$3,'Rubis Energies Division'!217:217,'Rubis Energies Division'!230:230)</f>
        <v>95.418000000000006</v>
      </c>
    </row>
    <row r="29" spans="3:11" x14ac:dyDescent="0.3">
      <c r="C29" s="28" t="s">
        <v>373</v>
      </c>
      <c r="F29" s="139">
        <v>0.1</v>
      </c>
      <c r="G29" s="135">
        <f>G28*(1+$F$29)</f>
        <v>93.278913580246922</v>
      </c>
      <c r="H29" s="135">
        <f t="shared" ref="H29:K29" si="4">H28*(1+$F$29)</f>
        <v>86.416814814814842</v>
      </c>
      <c r="I29" s="135">
        <f t="shared" si="4"/>
        <v>87.347700000000017</v>
      </c>
      <c r="J29" s="135">
        <f t="shared" si="4"/>
        <v>95.513916666666688</v>
      </c>
      <c r="K29" s="135">
        <f t="shared" si="4"/>
        <v>104.95980000000002</v>
      </c>
    </row>
    <row r="30" spans="3:11" x14ac:dyDescent="0.3">
      <c r="C30" s="28" t="s">
        <v>372</v>
      </c>
      <c r="F30" s="139">
        <v>0.5</v>
      </c>
      <c r="G30" s="135">
        <f>G28*(1+$F$30)</f>
        <v>127.19851851851853</v>
      </c>
      <c r="H30" s="135">
        <f t="shared" ref="H30:K30" si="5">H28*(1+$F$30)</f>
        <v>117.84111111111113</v>
      </c>
      <c r="I30" s="135">
        <f t="shared" si="5"/>
        <v>119.11050000000002</v>
      </c>
      <c r="J30" s="135">
        <f t="shared" si="5"/>
        <v>130.24625000000003</v>
      </c>
      <c r="K30" s="135">
        <f t="shared" si="5"/>
        <v>143.12700000000001</v>
      </c>
    </row>
    <row r="31" spans="3:11" x14ac:dyDescent="0.3">
      <c r="C31" s="2" t="str">
        <f>'Rubis Energies Division'!C32&amp;", "&amp;'Rubis Energies Division'!C40</f>
        <v>Volumes '000s m3 (scenario analysis output), Europe</v>
      </c>
      <c r="F31" s="103"/>
      <c r="G31" s="10"/>
      <c r="H31" s="10"/>
      <c r="I31" s="10"/>
      <c r="J31" s="10"/>
      <c r="K31" s="10"/>
    </row>
    <row r="32" spans="3:11" x14ac:dyDescent="0.3">
      <c r="C32" s="28" t="s">
        <v>374</v>
      </c>
      <c r="F32" s="139">
        <v>7.0000000000000007E-2</v>
      </c>
      <c r="G32" s="81">
        <f>G33*(1+$F$32)</f>
        <v>945.18795095190148</v>
      </c>
      <c r="H32" s="81">
        <f t="shared" ref="H32:K32" si="6">H33*(1+$F$32)</f>
        <v>970.58158113166678</v>
      </c>
      <c r="I32" s="81">
        <f t="shared" si="6"/>
        <v>998.54212738177512</v>
      </c>
      <c r="J32" s="81">
        <f t="shared" si="6"/>
        <v>1021.4953861457417</v>
      </c>
      <c r="K32" s="81">
        <f t="shared" si="6"/>
        <v>1039.4820701761071</v>
      </c>
    </row>
    <row r="33" spans="3:11" x14ac:dyDescent="0.3">
      <c r="C33" s="28" t="s">
        <v>200</v>
      </c>
      <c r="F33" s="103" t="s">
        <v>201</v>
      </c>
      <c r="G33" s="121">
        <f>_xlfn.XLOOKUP(G$3,'Rubis Energies Division'!$3:$3,'Rubis Energies Division'!40:40)</f>
        <v>883.35322518869293</v>
      </c>
      <c r="H33" s="121">
        <f>_xlfn.XLOOKUP(H$3,'Rubis Energies Division'!$3:$3,'Rubis Energies Division'!40:40)</f>
        <v>907.08558984267916</v>
      </c>
      <c r="I33" s="121">
        <f>_xlfn.XLOOKUP(I$3,'Rubis Energies Division'!$3:$3,'Rubis Energies Division'!40:40)</f>
        <v>933.21694147829442</v>
      </c>
      <c r="J33" s="121">
        <f>_xlfn.XLOOKUP(J$3,'Rubis Energies Division'!$3:$3,'Rubis Energies Division'!40:40)</f>
        <v>954.66858518293611</v>
      </c>
      <c r="K33" s="121">
        <f>_xlfn.XLOOKUP(K$3,'Rubis Energies Division'!$3:$3,'Rubis Energies Division'!40:40)</f>
        <v>971.47857025804387</v>
      </c>
    </row>
    <row r="34" spans="3:11" x14ac:dyDescent="0.3">
      <c r="C34" s="28" t="s">
        <v>373</v>
      </c>
      <c r="F34" s="139">
        <v>-7.0000000000000007E-2</v>
      </c>
      <c r="G34" s="81">
        <f>G33*(1+$F$34)</f>
        <v>821.51849942548438</v>
      </c>
      <c r="H34" s="81">
        <f t="shared" ref="H34:K34" si="7">H33*(1+$F$34)</f>
        <v>843.58959855369153</v>
      </c>
      <c r="I34" s="81">
        <f t="shared" si="7"/>
        <v>867.89175557481371</v>
      </c>
      <c r="J34" s="81">
        <f t="shared" si="7"/>
        <v>887.84178422013053</v>
      </c>
      <c r="K34" s="81">
        <f t="shared" si="7"/>
        <v>903.47507033998079</v>
      </c>
    </row>
    <row r="35" spans="3:11" x14ac:dyDescent="0.3">
      <c r="C35" s="28" t="s">
        <v>372</v>
      </c>
      <c r="F35" s="139">
        <v>-0.3</v>
      </c>
      <c r="G35" s="81">
        <f>G33*(1+$F$35)</f>
        <v>618.34725763208496</v>
      </c>
      <c r="H35" s="81">
        <f t="shared" ref="H35:K35" si="8">H33*(1+$F$35)</f>
        <v>634.95991288987534</v>
      </c>
      <c r="I35" s="81">
        <f t="shared" si="8"/>
        <v>653.2518590348061</v>
      </c>
      <c r="J35" s="81">
        <f t="shared" si="8"/>
        <v>668.26800962805521</v>
      </c>
      <c r="K35" s="81">
        <f t="shared" si="8"/>
        <v>680.03499918063062</v>
      </c>
    </row>
    <row r="36" spans="3:11" x14ac:dyDescent="0.3">
      <c r="C36" s="2" t="str">
        <f>'Rubis Energies Division'!C32&amp;", "&amp;'Rubis Energies Division'!C47</f>
        <v>Volumes '000s m3 (scenario analysis output), Caribbean</v>
      </c>
      <c r="F36" s="103"/>
      <c r="G36" s="10"/>
      <c r="H36" s="10"/>
      <c r="I36" s="10"/>
      <c r="J36" s="10"/>
      <c r="K36" s="10"/>
    </row>
    <row r="37" spans="3:11" x14ac:dyDescent="0.3">
      <c r="C37" s="28" t="s">
        <v>374</v>
      </c>
      <c r="F37" s="139">
        <v>0.1</v>
      </c>
      <c r="G37" s="81">
        <f>G38*(1+$F$37)</f>
        <v>2506.2467100000003</v>
      </c>
      <c r="H37" s="81">
        <f t="shared" ref="H37:K37" si="9">H38*(1+$F$37)</f>
        <v>2612.0011434000007</v>
      </c>
      <c r="I37" s="81">
        <f t="shared" si="9"/>
        <v>2721.0956311330006</v>
      </c>
      <c r="J37" s="81">
        <f t="shared" si="9"/>
        <v>2833.3618079719704</v>
      </c>
      <c r="K37" s="81">
        <f t="shared" si="9"/>
        <v>2950.9523084061925</v>
      </c>
    </row>
    <row r="38" spans="3:11" x14ac:dyDescent="0.3">
      <c r="C38" s="28" t="s">
        <v>200</v>
      </c>
      <c r="F38" s="103" t="s">
        <v>201</v>
      </c>
      <c r="G38" s="121">
        <f>_xlfn.XLOOKUP(G$3,'Rubis Energies Division'!$3:$3,'Rubis Energies Division'!47:47)</f>
        <v>2278.4061000000002</v>
      </c>
      <c r="H38" s="121">
        <f>_xlfn.XLOOKUP(H$3,'Rubis Energies Division'!$3:$3,'Rubis Energies Division'!47:47)</f>
        <v>2374.5464940000006</v>
      </c>
      <c r="I38" s="121">
        <f>_xlfn.XLOOKUP(I$3,'Rubis Energies Division'!$3:$3,'Rubis Energies Division'!47:47)</f>
        <v>2473.7233010300001</v>
      </c>
      <c r="J38" s="121">
        <f>_xlfn.XLOOKUP(J$3,'Rubis Energies Division'!$3:$3,'Rubis Energies Division'!47:47)</f>
        <v>2575.7834617927001</v>
      </c>
      <c r="K38" s="121">
        <f>_xlfn.XLOOKUP(K$3,'Rubis Energies Division'!$3:$3,'Rubis Energies Division'!47:47)</f>
        <v>2682.6839167329022</v>
      </c>
    </row>
    <row r="39" spans="3:11" x14ac:dyDescent="0.3">
      <c r="C39" s="28" t="s">
        <v>373</v>
      </c>
      <c r="F39" s="139">
        <v>-0.1</v>
      </c>
      <c r="G39" s="81">
        <f>G38*(1+$F$39)</f>
        <v>2050.5654900000004</v>
      </c>
      <c r="H39" s="81">
        <f t="shared" ref="H39:K39" si="10">H38*(1+$F$39)</f>
        <v>2137.0918446000005</v>
      </c>
      <c r="I39" s="81">
        <f t="shared" si="10"/>
        <v>2226.3509709270002</v>
      </c>
      <c r="J39" s="81">
        <f t="shared" si="10"/>
        <v>2318.2051156134303</v>
      </c>
      <c r="K39" s="81">
        <f t="shared" si="10"/>
        <v>2414.4155250596118</v>
      </c>
    </row>
    <row r="40" spans="3:11" x14ac:dyDescent="0.3">
      <c r="C40" s="28" t="s">
        <v>372</v>
      </c>
      <c r="F40" s="139">
        <v>-0.8</v>
      </c>
      <c r="G40" s="81">
        <f>G38*(1+$F$40)</f>
        <v>455.68121999999994</v>
      </c>
      <c r="H40" s="81">
        <f t="shared" ref="H40:K40" si="11">H38*(1+$F$40)</f>
        <v>474.90929880000004</v>
      </c>
      <c r="I40" s="81">
        <f t="shared" si="11"/>
        <v>494.74466020599993</v>
      </c>
      <c r="J40" s="81">
        <f t="shared" si="11"/>
        <v>515.15669235853989</v>
      </c>
      <c r="K40" s="81">
        <f t="shared" si="11"/>
        <v>536.53678334658036</v>
      </c>
    </row>
    <row r="41" spans="3:11" x14ac:dyDescent="0.3">
      <c r="C41" s="2" t="str">
        <f>'Rubis Energies Division'!C32&amp;", "&amp;'Rubis Energies Division'!C54</f>
        <v>Volumes '000s m3 (scenario analysis output), Africa</v>
      </c>
      <c r="F41" s="103"/>
      <c r="G41" s="10"/>
      <c r="H41" s="10"/>
      <c r="I41" s="10"/>
      <c r="J41" s="10"/>
      <c r="K41" s="10"/>
    </row>
    <row r="42" spans="3:11" x14ac:dyDescent="0.3">
      <c r="C42" s="28" t="s">
        <v>374</v>
      </c>
      <c r="F42" s="139">
        <v>0.15</v>
      </c>
      <c r="G42" s="81">
        <f>G43*(1+$F$42)</f>
        <v>3236.4396984999998</v>
      </c>
      <c r="H42" s="81">
        <f t="shared" ref="H42:K42" si="12">H43*(1+$F$42)</f>
        <v>3526.9630171854997</v>
      </c>
      <c r="I42" s="81">
        <f t="shared" si="12"/>
        <v>3869.9988743524709</v>
      </c>
      <c r="J42" s="81">
        <f t="shared" si="12"/>
        <v>4296.7639362003365</v>
      </c>
      <c r="K42" s="81">
        <f t="shared" si="12"/>
        <v>4828.1809615682387</v>
      </c>
    </row>
    <row r="43" spans="3:11" x14ac:dyDescent="0.3">
      <c r="C43" s="28" t="s">
        <v>200</v>
      </c>
      <c r="F43" s="103" t="s">
        <v>201</v>
      </c>
      <c r="G43" s="121">
        <f>_xlfn.XLOOKUP(G$3,'Rubis Energies Division'!$3:$3,'Rubis Energies Division'!54:54)</f>
        <v>2814.2953900000002</v>
      </c>
      <c r="H43" s="121">
        <f>_xlfn.XLOOKUP(H$3,'Rubis Energies Division'!$3:$3,'Rubis Energies Division'!54:54)</f>
        <v>3066.9243627699998</v>
      </c>
      <c r="I43" s="121">
        <f>_xlfn.XLOOKUP(I$3,'Rubis Energies Division'!$3:$3,'Rubis Energies Division'!54:54)</f>
        <v>3365.2164124804099</v>
      </c>
      <c r="J43" s="121">
        <f>_xlfn.XLOOKUP(J$3,'Rubis Energies Division'!$3:$3,'Rubis Energies Division'!54:54)</f>
        <v>3736.3164662611625</v>
      </c>
      <c r="K43" s="121">
        <f>_xlfn.XLOOKUP(K$3,'Rubis Energies Division'!$3:$3,'Rubis Energies Division'!54:54)</f>
        <v>4198.4182274506429</v>
      </c>
    </row>
    <row r="44" spans="3:11" x14ac:dyDescent="0.3">
      <c r="C44" s="28" t="s">
        <v>373</v>
      </c>
      <c r="F44" s="139">
        <v>-0.15</v>
      </c>
      <c r="G44" s="81">
        <f>G43*(1+$F$44)</f>
        <v>2392.1510815000001</v>
      </c>
      <c r="H44" s="81">
        <f t="shared" ref="H44:K44" si="13">H43*(1+$F$44)</f>
        <v>2606.8857083544999</v>
      </c>
      <c r="I44" s="81">
        <f t="shared" si="13"/>
        <v>2860.4339506083484</v>
      </c>
      <c r="J44" s="81">
        <f t="shared" si="13"/>
        <v>3175.8689963219881</v>
      </c>
      <c r="K44" s="81">
        <f t="shared" si="13"/>
        <v>3568.6554933330463</v>
      </c>
    </row>
    <row r="45" spans="3:11" x14ac:dyDescent="0.3">
      <c r="C45" s="28" t="s">
        <v>372</v>
      </c>
      <c r="F45" s="139">
        <v>-0.8</v>
      </c>
      <c r="G45" s="81">
        <f>G43*(1+$F$45)</f>
        <v>562.85907799999995</v>
      </c>
      <c r="H45" s="81">
        <f t="shared" ref="H45:K45" si="14">H43*(1+$F$45)</f>
        <v>613.3848725539998</v>
      </c>
      <c r="I45" s="81">
        <f t="shared" si="14"/>
        <v>673.04328249608182</v>
      </c>
      <c r="J45" s="81">
        <f t="shared" si="14"/>
        <v>747.2632932522323</v>
      </c>
      <c r="K45" s="81">
        <f t="shared" si="14"/>
        <v>839.68364549012836</v>
      </c>
    </row>
    <row r="46" spans="3:11" x14ac:dyDescent="0.3">
      <c r="C46" s="56" t="str">
        <f>'Rubis Energies Division'!C129&amp;", "&amp;'Rubis Energies Division'!C130</f>
        <v>Gross margin, Europe</v>
      </c>
      <c r="F46" s="103"/>
      <c r="G46" s="131"/>
      <c r="H46" s="131"/>
      <c r="I46" s="131"/>
      <c r="J46" s="131"/>
      <c r="K46" s="131"/>
    </row>
    <row r="47" spans="3:11" x14ac:dyDescent="0.3">
      <c r="C47" s="28" t="s">
        <v>374</v>
      </c>
      <c r="F47" s="139">
        <v>0.04</v>
      </c>
      <c r="G47" s="176">
        <f>G48+$F$47</f>
        <v>0.31</v>
      </c>
      <c r="H47" s="176">
        <f t="shared" ref="H47:K47" si="15">H48+$F$47</f>
        <v>0.31</v>
      </c>
      <c r="I47" s="176">
        <f t="shared" si="15"/>
        <v>0.31</v>
      </c>
      <c r="J47" s="176">
        <f t="shared" si="15"/>
        <v>0.31</v>
      </c>
      <c r="K47" s="176">
        <f t="shared" si="15"/>
        <v>0.31</v>
      </c>
    </row>
    <row r="48" spans="3:11" x14ac:dyDescent="0.3">
      <c r="C48" s="28" t="s">
        <v>200</v>
      </c>
      <c r="F48" s="103" t="s">
        <v>201</v>
      </c>
      <c r="G48" s="82">
        <v>0.27</v>
      </c>
      <c r="H48" s="82">
        <v>0.27</v>
      </c>
      <c r="I48" s="82">
        <v>0.27</v>
      </c>
      <c r="J48" s="82">
        <v>0.27</v>
      </c>
      <c r="K48" s="82">
        <v>0.27</v>
      </c>
    </row>
    <row r="49" spans="3:11" x14ac:dyDescent="0.3">
      <c r="C49" s="28" t="s">
        <v>373</v>
      </c>
      <c r="F49" s="139">
        <v>-0.04</v>
      </c>
      <c r="G49" s="176">
        <f>G48+$F$49</f>
        <v>0.23</v>
      </c>
      <c r="H49" s="176">
        <f t="shared" ref="H49:K49" si="16">H48+$F$49</f>
        <v>0.23</v>
      </c>
      <c r="I49" s="176">
        <f t="shared" si="16"/>
        <v>0.23</v>
      </c>
      <c r="J49" s="176">
        <f t="shared" si="16"/>
        <v>0.23</v>
      </c>
      <c r="K49" s="176">
        <f t="shared" si="16"/>
        <v>0.23</v>
      </c>
    </row>
    <row r="50" spans="3:11" x14ac:dyDescent="0.3">
      <c r="C50" s="28" t="s">
        <v>372</v>
      </c>
      <c r="F50" s="139">
        <v>-0.25</v>
      </c>
      <c r="G50" s="176">
        <f>G48+$F$50</f>
        <v>2.0000000000000018E-2</v>
      </c>
      <c r="H50" s="176">
        <f t="shared" ref="H50:K50" si="17">H48+$F$50</f>
        <v>2.0000000000000018E-2</v>
      </c>
      <c r="I50" s="176">
        <f t="shared" si="17"/>
        <v>2.0000000000000018E-2</v>
      </c>
      <c r="J50" s="176">
        <f t="shared" si="17"/>
        <v>2.0000000000000018E-2</v>
      </c>
      <c r="K50" s="176">
        <f t="shared" si="17"/>
        <v>2.0000000000000018E-2</v>
      </c>
    </row>
    <row r="51" spans="3:11" x14ac:dyDescent="0.3">
      <c r="C51" s="56" t="str">
        <f>'Rubis Energies Division'!C129&amp;", "&amp;'Rubis Energies Division'!C131</f>
        <v>Gross margin, Caribbean</v>
      </c>
      <c r="F51" s="139"/>
      <c r="G51" s="131"/>
      <c r="H51" s="131"/>
      <c r="I51" s="131"/>
      <c r="J51" s="131"/>
      <c r="K51" s="131"/>
    </row>
    <row r="52" spans="3:11" x14ac:dyDescent="0.3">
      <c r="C52" s="28" t="s">
        <v>374</v>
      </c>
      <c r="F52" s="139">
        <v>0.1</v>
      </c>
      <c r="G52" s="176">
        <f>G53+$F$52</f>
        <v>0.30000000000000004</v>
      </c>
      <c r="H52" s="176">
        <f t="shared" ref="H52:K52" si="18">H53+$F$52</f>
        <v>0.30000000000000004</v>
      </c>
      <c r="I52" s="176">
        <f t="shared" si="18"/>
        <v>0.30000000000000004</v>
      </c>
      <c r="J52" s="176">
        <f t="shared" si="18"/>
        <v>0.30000000000000004</v>
      </c>
      <c r="K52" s="176">
        <f t="shared" si="18"/>
        <v>0.30000000000000004</v>
      </c>
    </row>
    <row r="53" spans="3:11" x14ac:dyDescent="0.3">
      <c r="C53" s="28" t="s">
        <v>200</v>
      </c>
      <c r="F53" s="103" t="s">
        <v>201</v>
      </c>
      <c r="G53" s="82">
        <v>0.2</v>
      </c>
      <c r="H53" s="82">
        <v>0.2</v>
      </c>
      <c r="I53" s="82">
        <v>0.2</v>
      </c>
      <c r="J53" s="82">
        <v>0.2</v>
      </c>
      <c r="K53" s="82">
        <v>0.2</v>
      </c>
    </row>
    <row r="54" spans="3:11" x14ac:dyDescent="0.3">
      <c r="C54" s="28" t="s">
        <v>373</v>
      </c>
      <c r="F54" s="139">
        <v>-0.1</v>
      </c>
      <c r="G54" s="176">
        <f>G53+$F$54</f>
        <v>0.1</v>
      </c>
      <c r="H54" s="176">
        <f t="shared" ref="H54:K54" si="19">H53+$F$54</f>
        <v>0.1</v>
      </c>
      <c r="I54" s="176">
        <f t="shared" si="19"/>
        <v>0.1</v>
      </c>
      <c r="J54" s="176">
        <f t="shared" si="19"/>
        <v>0.1</v>
      </c>
      <c r="K54" s="176">
        <f t="shared" si="19"/>
        <v>0.1</v>
      </c>
    </row>
    <row r="55" spans="3:11" x14ac:dyDescent="0.3">
      <c r="C55" s="28" t="s">
        <v>372</v>
      </c>
      <c r="F55" s="139">
        <v>-0.18</v>
      </c>
      <c r="G55" s="137">
        <f>G53+$F$55</f>
        <v>2.0000000000000018E-2</v>
      </c>
      <c r="H55" s="137">
        <f t="shared" ref="H55:K55" si="20">H53+$F$55</f>
        <v>2.0000000000000018E-2</v>
      </c>
      <c r="I55" s="137">
        <f t="shared" si="20"/>
        <v>2.0000000000000018E-2</v>
      </c>
      <c r="J55" s="137">
        <f t="shared" si="20"/>
        <v>2.0000000000000018E-2</v>
      </c>
      <c r="K55" s="137">
        <f t="shared" si="20"/>
        <v>2.0000000000000018E-2</v>
      </c>
    </row>
    <row r="56" spans="3:11" x14ac:dyDescent="0.3">
      <c r="C56" s="56" t="str">
        <f>'Rubis Energies Division'!C129&amp;", "&amp;'Rubis Energies Division'!C132</f>
        <v>Gross margin, Africa</v>
      </c>
      <c r="F56" s="139"/>
      <c r="G56" s="131"/>
      <c r="H56" s="131"/>
      <c r="I56" s="131"/>
      <c r="J56" s="131"/>
      <c r="K56" s="131"/>
    </row>
    <row r="57" spans="3:11" x14ac:dyDescent="0.3">
      <c r="C57" s="28" t="s">
        <v>374</v>
      </c>
      <c r="F57" s="139">
        <v>0.1</v>
      </c>
      <c r="G57" s="176">
        <f>G58+$F$57</f>
        <v>0.30000000000000004</v>
      </c>
      <c r="H57" s="176">
        <f t="shared" ref="H57:K57" si="21">H58+$F$57</f>
        <v>0.30000000000000004</v>
      </c>
      <c r="I57" s="176">
        <f t="shared" si="21"/>
        <v>0.30000000000000004</v>
      </c>
      <c r="J57" s="176">
        <f t="shared" si="21"/>
        <v>0.30000000000000004</v>
      </c>
      <c r="K57" s="176">
        <f t="shared" si="21"/>
        <v>0.30000000000000004</v>
      </c>
    </row>
    <row r="58" spans="3:11" x14ac:dyDescent="0.3">
      <c r="C58" s="28" t="s">
        <v>200</v>
      </c>
      <c r="F58" s="103" t="s">
        <v>201</v>
      </c>
      <c r="G58" s="82">
        <v>0.2</v>
      </c>
      <c r="H58" s="82">
        <v>0.2</v>
      </c>
      <c r="I58" s="82">
        <v>0.2</v>
      </c>
      <c r="J58" s="82">
        <v>0.2</v>
      </c>
      <c r="K58" s="82">
        <v>0.2</v>
      </c>
    </row>
    <row r="59" spans="3:11" x14ac:dyDescent="0.3">
      <c r="C59" s="28" t="s">
        <v>373</v>
      </c>
      <c r="F59" s="139">
        <v>-0.1</v>
      </c>
      <c r="G59" s="176">
        <f>G58+$F$59</f>
        <v>0.1</v>
      </c>
      <c r="H59" s="176">
        <f t="shared" ref="H59:K59" si="22">H58+$F$59</f>
        <v>0.1</v>
      </c>
      <c r="I59" s="176">
        <f t="shared" si="22"/>
        <v>0.1</v>
      </c>
      <c r="J59" s="176">
        <f t="shared" si="22"/>
        <v>0.1</v>
      </c>
      <c r="K59" s="176">
        <f t="shared" si="22"/>
        <v>0.1</v>
      </c>
    </row>
    <row r="60" spans="3:11" x14ac:dyDescent="0.3">
      <c r="C60" s="28" t="s">
        <v>372</v>
      </c>
      <c r="F60" s="139">
        <v>-0.2</v>
      </c>
      <c r="G60" s="137">
        <f>G58+$F$60</f>
        <v>0</v>
      </c>
      <c r="H60" s="137">
        <f t="shared" ref="H60:K60" si="23">H58+$F$60</f>
        <v>0</v>
      </c>
      <c r="I60" s="137">
        <f t="shared" si="23"/>
        <v>0</v>
      </c>
      <c r="J60" s="137">
        <f t="shared" si="23"/>
        <v>0</v>
      </c>
      <c r="K60" s="137">
        <f t="shared" si="23"/>
        <v>0</v>
      </c>
    </row>
    <row r="61" spans="3:11" x14ac:dyDescent="0.3">
      <c r="C61" s="56" t="str">
        <f>'Rubis Energies Division'!C162&amp;", "&amp;'Rubis Energies Division'!C163</f>
        <v>EBITDA margin, Europe</v>
      </c>
      <c r="F61" s="139"/>
      <c r="G61" s="131"/>
      <c r="H61" s="131"/>
      <c r="I61" s="131"/>
      <c r="J61" s="131"/>
      <c r="K61" s="131"/>
    </row>
    <row r="62" spans="3:11" x14ac:dyDescent="0.3">
      <c r="C62" s="28" t="s">
        <v>374</v>
      </c>
      <c r="F62" s="139">
        <v>0.02</v>
      </c>
      <c r="G62" s="137">
        <f>G63+$F$62</f>
        <v>0.16</v>
      </c>
      <c r="H62" s="137">
        <f t="shared" ref="H62:K62" si="24">H63+$F$62</f>
        <v>0.16</v>
      </c>
      <c r="I62" s="137">
        <f t="shared" si="24"/>
        <v>0.16</v>
      </c>
      <c r="J62" s="137">
        <f t="shared" si="24"/>
        <v>0.16</v>
      </c>
      <c r="K62" s="137">
        <f t="shared" si="24"/>
        <v>0.16</v>
      </c>
    </row>
    <row r="63" spans="3:11" x14ac:dyDescent="0.3">
      <c r="C63" s="28" t="s">
        <v>200</v>
      </c>
      <c r="F63" s="103" t="s">
        <v>201</v>
      </c>
      <c r="G63" s="136">
        <v>0.14000000000000001</v>
      </c>
      <c r="H63" s="136">
        <v>0.14000000000000001</v>
      </c>
      <c r="I63" s="136">
        <v>0.14000000000000001</v>
      </c>
      <c r="J63" s="136">
        <v>0.14000000000000001</v>
      </c>
      <c r="K63" s="136">
        <v>0.14000000000000001</v>
      </c>
    </row>
    <row r="64" spans="3:11" x14ac:dyDescent="0.3">
      <c r="C64" s="28" t="s">
        <v>373</v>
      </c>
      <c r="F64" s="139">
        <v>-0.02</v>
      </c>
      <c r="G64" s="137">
        <f>G63+$F$64</f>
        <v>0.12000000000000001</v>
      </c>
      <c r="H64" s="137">
        <f t="shared" ref="H64:K64" si="25">H63+$F$64</f>
        <v>0.12000000000000001</v>
      </c>
      <c r="I64" s="137">
        <f t="shared" si="25"/>
        <v>0.12000000000000001</v>
      </c>
      <c r="J64" s="137">
        <f t="shared" si="25"/>
        <v>0.12000000000000001</v>
      </c>
      <c r="K64" s="137">
        <f t="shared" si="25"/>
        <v>0.12000000000000001</v>
      </c>
    </row>
    <row r="65" spans="3:11" x14ac:dyDescent="0.3">
      <c r="C65" s="28" t="s">
        <v>372</v>
      </c>
      <c r="F65" s="139">
        <v>-0.2</v>
      </c>
      <c r="G65" s="137">
        <f>G63+$F$65</f>
        <v>-0.06</v>
      </c>
      <c r="H65" s="137">
        <f t="shared" ref="H65:K65" si="26">H63+$F$65</f>
        <v>-0.06</v>
      </c>
      <c r="I65" s="137">
        <f t="shared" si="26"/>
        <v>-0.06</v>
      </c>
      <c r="J65" s="137">
        <f t="shared" si="26"/>
        <v>-0.06</v>
      </c>
      <c r="K65" s="137">
        <f t="shared" si="26"/>
        <v>-0.06</v>
      </c>
    </row>
    <row r="66" spans="3:11" x14ac:dyDescent="0.3">
      <c r="C66" s="56" t="str">
        <f>'Rubis Energies Division'!C162&amp;", "&amp;'Rubis Energies Division'!C164</f>
        <v>EBITDA margin, Caribbean</v>
      </c>
      <c r="F66" s="103"/>
      <c r="G66" s="131"/>
      <c r="H66" s="131"/>
      <c r="I66" s="131"/>
      <c r="J66" s="131"/>
      <c r="K66" s="131"/>
    </row>
    <row r="67" spans="3:11" x14ac:dyDescent="0.3">
      <c r="C67" s="28" t="s">
        <v>374</v>
      </c>
      <c r="F67" s="139">
        <v>1.4999999999999999E-2</v>
      </c>
      <c r="G67" s="137">
        <f>G68+$F$67</f>
        <v>9.5000000000000001E-2</v>
      </c>
      <c r="H67" s="137">
        <f t="shared" ref="H67:K67" si="27">H68+$F$67</f>
        <v>9.5000000000000001E-2</v>
      </c>
      <c r="I67" s="137">
        <f t="shared" si="27"/>
        <v>9.5000000000000001E-2</v>
      </c>
      <c r="J67" s="137">
        <f t="shared" si="27"/>
        <v>9.5000000000000001E-2</v>
      </c>
      <c r="K67" s="137">
        <f t="shared" si="27"/>
        <v>9.5000000000000001E-2</v>
      </c>
    </row>
    <row r="68" spans="3:11" x14ac:dyDescent="0.3">
      <c r="C68" s="28" t="s">
        <v>200</v>
      </c>
      <c r="F68" s="103" t="s">
        <v>201</v>
      </c>
      <c r="G68" s="136">
        <v>0.08</v>
      </c>
      <c r="H68" s="136">
        <v>0.08</v>
      </c>
      <c r="I68" s="136">
        <v>0.08</v>
      </c>
      <c r="J68" s="136">
        <v>0.08</v>
      </c>
      <c r="K68" s="136">
        <v>0.08</v>
      </c>
    </row>
    <row r="69" spans="3:11" x14ac:dyDescent="0.3">
      <c r="C69" s="28" t="s">
        <v>373</v>
      </c>
      <c r="F69" s="139">
        <v>-1.4999999999999999E-2</v>
      </c>
      <c r="G69" s="137">
        <f>G68+$F$69</f>
        <v>6.5000000000000002E-2</v>
      </c>
      <c r="H69" s="137">
        <f t="shared" ref="H69:K69" si="28">H68+$F$69</f>
        <v>6.5000000000000002E-2</v>
      </c>
      <c r="I69" s="137">
        <f t="shared" si="28"/>
        <v>6.5000000000000002E-2</v>
      </c>
      <c r="J69" s="137">
        <f t="shared" si="28"/>
        <v>6.5000000000000002E-2</v>
      </c>
      <c r="K69" s="137">
        <f t="shared" si="28"/>
        <v>6.5000000000000002E-2</v>
      </c>
    </row>
    <row r="70" spans="3:11" x14ac:dyDescent="0.3">
      <c r="C70" s="28" t="s">
        <v>372</v>
      </c>
      <c r="F70" s="139">
        <v>-0.15</v>
      </c>
      <c r="G70" s="137">
        <f>G68+$F$70</f>
        <v>-6.9999999999999993E-2</v>
      </c>
      <c r="H70" s="137">
        <f t="shared" ref="H70:K70" si="29">H68+$F$70</f>
        <v>-6.9999999999999993E-2</v>
      </c>
      <c r="I70" s="137">
        <f t="shared" si="29"/>
        <v>-6.9999999999999993E-2</v>
      </c>
      <c r="J70" s="137">
        <f t="shared" si="29"/>
        <v>-6.9999999999999993E-2</v>
      </c>
      <c r="K70" s="137">
        <f t="shared" si="29"/>
        <v>-6.9999999999999993E-2</v>
      </c>
    </row>
    <row r="71" spans="3:11" x14ac:dyDescent="0.3">
      <c r="C71" s="56" t="str">
        <f>'Rubis Energies Division'!C162&amp;", "&amp;'Rubis Energies Division'!C165</f>
        <v>EBITDA margin, Africa</v>
      </c>
      <c r="F71" s="103"/>
      <c r="G71" s="131"/>
      <c r="H71" s="131"/>
      <c r="I71" s="131"/>
      <c r="J71" s="131"/>
      <c r="K71" s="131"/>
    </row>
    <row r="72" spans="3:11" x14ac:dyDescent="0.3">
      <c r="C72" s="28" t="s">
        <v>374</v>
      </c>
      <c r="F72" s="139">
        <v>0.02</v>
      </c>
      <c r="G72" s="137">
        <f>G73+$F$72</f>
        <v>0.12000000000000001</v>
      </c>
      <c r="H72" s="137">
        <f t="shared" ref="H72:K72" si="30">H73+$F$72</f>
        <v>0.12000000000000001</v>
      </c>
      <c r="I72" s="137">
        <f t="shared" si="30"/>
        <v>0.12000000000000001</v>
      </c>
      <c r="J72" s="137">
        <f t="shared" si="30"/>
        <v>0.12000000000000001</v>
      </c>
      <c r="K72" s="137">
        <f t="shared" si="30"/>
        <v>0.12000000000000001</v>
      </c>
    </row>
    <row r="73" spans="3:11" x14ac:dyDescent="0.3">
      <c r="C73" s="28" t="s">
        <v>200</v>
      </c>
      <c r="F73" s="103" t="s">
        <v>201</v>
      </c>
      <c r="G73" s="136">
        <v>0.1</v>
      </c>
      <c r="H73" s="136">
        <v>0.1</v>
      </c>
      <c r="I73" s="136">
        <v>0.1</v>
      </c>
      <c r="J73" s="136">
        <v>0.1</v>
      </c>
      <c r="K73" s="136">
        <v>0.1</v>
      </c>
    </row>
    <row r="74" spans="3:11" x14ac:dyDescent="0.3">
      <c r="C74" s="28" t="s">
        <v>373</v>
      </c>
      <c r="F74" s="139">
        <v>-0.02</v>
      </c>
      <c r="G74" s="137">
        <f>G73+$F$74</f>
        <v>0.08</v>
      </c>
      <c r="H74" s="137">
        <f t="shared" ref="H74:K74" si="31">H73+$F$74</f>
        <v>0.08</v>
      </c>
      <c r="I74" s="137">
        <f t="shared" si="31"/>
        <v>0.08</v>
      </c>
      <c r="J74" s="137">
        <f t="shared" si="31"/>
        <v>0.08</v>
      </c>
      <c r="K74" s="137">
        <f t="shared" si="31"/>
        <v>0.08</v>
      </c>
    </row>
    <row r="75" spans="3:11" x14ac:dyDescent="0.3">
      <c r="C75" s="28" t="s">
        <v>372</v>
      </c>
      <c r="F75" s="139">
        <v>-0.18</v>
      </c>
      <c r="G75" s="137">
        <f>G73+$F$75</f>
        <v>-7.9999999999999988E-2</v>
      </c>
      <c r="H75" s="137">
        <f t="shared" ref="H75:K75" si="32">H73+$F$75</f>
        <v>-7.9999999999999988E-2</v>
      </c>
      <c r="I75" s="137">
        <f t="shared" si="32"/>
        <v>-7.9999999999999988E-2</v>
      </c>
      <c r="J75" s="137">
        <f t="shared" si="32"/>
        <v>-7.9999999999999988E-2</v>
      </c>
      <c r="K75" s="137">
        <f t="shared" si="32"/>
        <v>-7.9999999999999988E-2</v>
      </c>
    </row>
    <row r="76" spans="3:11" x14ac:dyDescent="0.3">
      <c r="C76" s="28"/>
      <c r="F76" s="103"/>
    </row>
    <row r="77" spans="3:11" x14ac:dyDescent="0.3">
      <c r="C77" s="28"/>
      <c r="F77" s="103"/>
    </row>
    <row r="78" spans="3:11" x14ac:dyDescent="0.3">
      <c r="C78" s="56" t="str">
        <f>'Rubis Energies Division'!C187</f>
        <v>Tanker industry gross margins</v>
      </c>
      <c r="F78" s="103"/>
    </row>
    <row r="79" spans="3:11" x14ac:dyDescent="0.3">
      <c r="C79" s="28" t="s">
        <v>374</v>
      </c>
      <c r="F79" s="139">
        <v>0.1</v>
      </c>
      <c r="G79" s="137">
        <f>G80+$F$79</f>
        <v>0.55000000000000004</v>
      </c>
      <c r="H79" s="137">
        <f>H80+$F$79</f>
        <v>0.55000000000000004</v>
      </c>
      <c r="I79" s="137">
        <f>I80+$F$79</f>
        <v>0.55000000000000004</v>
      </c>
      <c r="J79" s="137">
        <f>J80+$F$79</f>
        <v>0.55000000000000004</v>
      </c>
      <c r="K79" s="137">
        <f>K80+$F$79</f>
        <v>0.55000000000000004</v>
      </c>
    </row>
    <row r="80" spans="3:11" x14ac:dyDescent="0.3">
      <c r="C80" s="28" t="s">
        <v>200</v>
      </c>
      <c r="F80" s="103" t="s">
        <v>201</v>
      </c>
      <c r="G80" s="136">
        <v>0.45</v>
      </c>
      <c r="H80" s="136">
        <v>0.45</v>
      </c>
      <c r="I80" s="136">
        <v>0.45</v>
      </c>
      <c r="J80" s="136">
        <v>0.45</v>
      </c>
      <c r="K80" s="136">
        <v>0.45</v>
      </c>
    </row>
    <row r="81" spans="3:11" x14ac:dyDescent="0.3">
      <c r="C81" s="28" t="s">
        <v>373</v>
      </c>
      <c r="F81" s="139">
        <v>-0.1</v>
      </c>
      <c r="G81" s="137">
        <f>G80+$F$81</f>
        <v>0.35</v>
      </c>
      <c r="H81" s="137">
        <f t="shared" ref="H81:K81" si="33">H80+$F$81</f>
        <v>0.35</v>
      </c>
      <c r="I81" s="137">
        <f t="shared" si="33"/>
        <v>0.35</v>
      </c>
      <c r="J81" s="137">
        <f t="shared" si="33"/>
        <v>0.35</v>
      </c>
      <c r="K81" s="137">
        <f t="shared" si="33"/>
        <v>0.35</v>
      </c>
    </row>
    <row r="82" spans="3:11" x14ac:dyDescent="0.3">
      <c r="C82" s="28" t="s">
        <v>372</v>
      </c>
      <c r="F82" s="139">
        <v>-0.5</v>
      </c>
      <c r="G82" s="137">
        <f>G80+$F$82</f>
        <v>-4.9999999999999989E-2</v>
      </c>
      <c r="H82" s="137">
        <f t="shared" ref="H82:K82" si="34">H80+$F$82</f>
        <v>-4.9999999999999989E-2</v>
      </c>
      <c r="I82" s="137">
        <f t="shared" si="34"/>
        <v>-4.9999999999999989E-2</v>
      </c>
      <c r="J82" s="137">
        <f t="shared" si="34"/>
        <v>-4.9999999999999989E-2</v>
      </c>
      <c r="K82" s="137">
        <f t="shared" si="34"/>
        <v>-4.9999999999999989E-2</v>
      </c>
    </row>
    <row r="83" spans="3:11" x14ac:dyDescent="0.3">
      <c r="C83" s="56" t="str">
        <f>'Rubis Energies Division'!C198&amp;" "&amp;'Rubis Energies Division'!C204</f>
        <v>Refining Gross margin per barrel</v>
      </c>
      <c r="F83" s="103"/>
    </row>
    <row r="84" spans="3:11" x14ac:dyDescent="0.3">
      <c r="C84" s="28" t="s">
        <v>374</v>
      </c>
      <c r="F84" s="139">
        <v>0.5</v>
      </c>
      <c r="G84" s="41">
        <f>G85*(1+$F$84)</f>
        <v>55.5</v>
      </c>
      <c r="H84" s="41">
        <f t="shared" ref="H84:K84" si="35">H85*(1+$F$84)</f>
        <v>55.5</v>
      </c>
      <c r="I84" s="41">
        <f t="shared" si="35"/>
        <v>55.5</v>
      </c>
      <c r="J84" s="41">
        <f t="shared" si="35"/>
        <v>55.5</v>
      </c>
      <c r="K84" s="41">
        <f t="shared" si="35"/>
        <v>55.5</v>
      </c>
    </row>
    <row r="85" spans="3:11" x14ac:dyDescent="0.3">
      <c r="C85" s="28" t="s">
        <v>200</v>
      </c>
      <c r="F85" s="103" t="s">
        <v>201</v>
      </c>
      <c r="G85" s="179">
        <v>37</v>
      </c>
      <c r="H85" s="179">
        <v>37</v>
      </c>
      <c r="I85" s="179">
        <v>37</v>
      </c>
      <c r="J85" s="179">
        <v>37</v>
      </c>
      <c r="K85" s="179">
        <v>37</v>
      </c>
    </row>
    <row r="86" spans="3:11" x14ac:dyDescent="0.3">
      <c r="C86" s="28" t="s">
        <v>373</v>
      </c>
      <c r="F86" s="139">
        <v>-0.5</v>
      </c>
      <c r="G86" s="41">
        <f>G85*(1+$F$86)</f>
        <v>18.5</v>
      </c>
      <c r="H86" s="41">
        <f t="shared" ref="H86:K86" si="36">H85*(1+$F$86)</f>
        <v>18.5</v>
      </c>
      <c r="I86" s="41">
        <f t="shared" si="36"/>
        <v>18.5</v>
      </c>
      <c r="J86" s="41">
        <f t="shared" si="36"/>
        <v>18.5</v>
      </c>
      <c r="K86" s="41">
        <f t="shared" si="36"/>
        <v>18.5</v>
      </c>
    </row>
    <row r="87" spans="3:11" x14ac:dyDescent="0.3">
      <c r="C87" s="28" t="s">
        <v>372</v>
      </c>
      <c r="F87" s="139">
        <v>-0.8</v>
      </c>
      <c r="G87" s="41">
        <f>G85*(1+$F$87)</f>
        <v>7.3999999999999986</v>
      </c>
      <c r="H87" s="41">
        <f t="shared" ref="H87:K87" si="37">H85*(1+$F$87)</f>
        <v>7.3999999999999986</v>
      </c>
      <c r="I87" s="41">
        <f t="shared" si="37"/>
        <v>7.3999999999999986</v>
      </c>
      <c r="J87" s="41">
        <f t="shared" si="37"/>
        <v>7.3999999999999986</v>
      </c>
      <c r="K87" s="41">
        <f t="shared" si="37"/>
        <v>7.3999999999999986</v>
      </c>
    </row>
    <row r="88" spans="3:11" x14ac:dyDescent="0.3">
      <c r="C88" s="56" t="str">
        <f>'Rubis Energies Division'!C210</f>
        <v>EBITDA (Support and Services segment)</v>
      </c>
      <c r="F88" s="103"/>
    </row>
    <row r="89" spans="3:11" x14ac:dyDescent="0.3">
      <c r="C89" s="28" t="s">
        <v>374</v>
      </c>
      <c r="F89" s="139">
        <v>0.05</v>
      </c>
      <c r="G89" s="25">
        <f>G90+$F$89</f>
        <v>0.28000000000000003</v>
      </c>
      <c r="H89" s="25">
        <f>H90+$F$89</f>
        <v>0.28000000000000003</v>
      </c>
      <c r="I89" s="25">
        <f>I90+$F$89</f>
        <v>0.28000000000000003</v>
      </c>
      <c r="J89" s="25">
        <f>J90+$F$89</f>
        <v>0.28000000000000003</v>
      </c>
      <c r="K89" s="25">
        <f>K90+$F$89</f>
        <v>0.28000000000000003</v>
      </c>
    </row>
    <row r="90" spans="3:11" x14ac:dyDescent="0.3">
      <c r="C90" s="28" t="s">
        <v>200</v>
      </c>
      <c r="F90" s="103" t="s">
        <v>201</v>
      </c>
      <c r="G90" s="26">
        <v>0.23</v>
      </c>
      <c r="H90" s="26">
        <v>0.23</v>
      </c>
      <c r="I90" s="26">
        <v>0.23</v>
      </c>
      <c r="J90" s="26">
        <v>0.23</v>
      </c>
      <c r="K90" s="26">
        <v>0.23</v>
      </c>
    </row>
    <row r="91" spans="3:11" x14ac:dyDescent="0.3">
      <c r="C91" s="28" t="s">
        <v>373</v>
      </c>
      <c r="F91" s="139">
        <v>-0.05</v>
      </c>
      <c r="G91" s="25">
        <f>G90+$F$91</f>
        <v>0.18</v>
      </c>
      <c r="H91" s="25">
        <f>H90+$F$91</f>
        <v>0.18</v>
      </c>
      <c r="I91" s="25">
        <f>I90+$F$91</f>
        <v>0.18</v>
      </c>
      <c r="J91" s="25">
        <f>J90+$F$91</f>
        <v>0.18</v>
      </c>
      <c r="K91" s="25">
        <f>K90+$F$91</f>
        <v>0.18</v>
      </c>
    </row>
    <row r="92" spans="3:11" x14ac:dyDescent="0.3">
      <c r="C92" s="28" t="s">
        <v>372</v>
      </c>
      <c r="F92" s="139">
        <v>-0.1</v>
      </c>
      <c r="G92" s="25">
        <f>G90+$F$92</f>
        <v>0.13</v>
      </c>
      <c r="H92" s="25">
        <f t="shared" ref="H92:K92" si="38">H90+$F$92</f>
        <v>0.13</v>
      </c>
      <c r="I92" s="25">
        <f t="shared" si="38"/>
        <v>0.13</v>
      </c>
      <c r="J92" s="25">
        <f t="shared" si="38"/>
        <v>0.13</v>
      </c>
      <c r="K92" s="25">
        <f t="shared" si="38"/>
        <v>0.13</v>
      </c>
    </row>
    <row r="93" spans="3:11" x14ac:dyDescent="0.3">
      <c r="C93" s="56" t="str">
        <f>'Rubis Energies Division'!C183&amp;" "&amp;'Rubis Energies Division'!C184</f>
        <v>Baltic Dirty tanker Index (BDTI) Growth</v>
      </c>
      <c r="F93" s="103"/>
    </row>
    <row r="94" spans="3:11" x14ac:dyDescent="0.3">
      <c r="C94" s="28" t="s">
        <v>374</v>
      </c>
      <c r="F94" s="139">
        <v>0.05</v>
      </c>
      <c r="G94" s="25">
        <f>G95+$F$94</f>
        <v>0.15000000000000002</v>
      </c>
      <c r="H94" s="25">
        <f t="shared" ref="H94:K94" si="39">H95+$F$94</f>
        <v>8.6999999999999994E-2</v>
      </c>
      <c r="I94" s="25">
        <f t="shared" si="39"/>
        <v>2.6000000000000002E-2</v>
      </c>
      <c r="J94" s="25">
        <f t="shared" si="39"/>
        <v>2.6000000000000002E-2</v>
      </c>
      <c r="K94" s="25">
        <f t="shared" si="39"/>
        <v>2.6000000000000002E-2</v>
      </c>
    </row>
    <row r="95" spans="3:11" x14ac:dyDescent="0.3">
      <c r="C95" s="28" t="s">
        <v>200</v>
      </c>
      <c r="F95" s="103" t="s">
        <v>201</v>
      </c>
      <c r="G95" s="64">
        <v>0.1</v>
      </c>
      <c r="H95" s="64">
        <v>3.6999999999999998E-2</v>
      </c>
      <c r="I95" s="64">
        <v>-2.4E-2</v>
      </c>
      <c r="J95" s="64">
        <v>-2.4E-2</v>
      </c>
      <c r="K95" s="64">
        <v>-2.4E-2</v>
      </c>
    </row>
    <row r="96" spans="3:11" x14ac:dyDescent="0.3">
      <c r="C96" s="28" t="s">
        <v>373</v>
      </c>
      <c r="F96" s="139">
        <v>-0.05</v>
      </c>
      <c r="G96" s="25">
        <f>G95+$F$96</f>
        <v>0.05</v>
      </c>
      <c r="H96" s="25">
        <f t="shared" ref="H96:K96" si="40">H95+$F$96</f>
        <v>-1.3000000000000005E-2</v>
      </c>
      <c r="I96" s="25">
        <f t="shared" si="40"/>
        <v>-7.400000000000001E-2</v>
      </c>
      <c r="J96" s="25">
        <f t="shared" si="40"/>
        <v>-7.400000000000001E-2</v>
      </c>
      <c r="K96" s="25">
        <f t="shared" si="40"/>
        <v>-7.400000000000001E-2</v>
      </c>
    </row>
    <row r="97" spans="3:11" x14ac:dyDescent="0.3">
      <c r="C97" s="28" t="s">
        <v>372</v>
      </c>
      <c r="F97" s="139">
        <v>-0.2</v>
      </c>
      <c r="G97" s="137">
        <f>G95+$F$97</f>
        <v>-0.1</v>
      </c>
      <c r="H97" s="137">
        <f t="shared" ref="H97:K97" si="41">H95+$F$97</f>
        <v>-0.16300000000000001</v>
      </c>
      <c r="I97" s="137">
        <f t="shared" si="41"/>
        <v>-0.224</v>
      </c>
      <c r="J97" s="137">
        <f t="shared" si="41"/>
        <v>-0.224</v>
      </c>
      <c r="K97" s="137">
        <f t="shared" si="41"/>
        <v>-0.224</v>
      </c>
    </row>
    <row r="98" spans="3:11" x14ac:dyDescent="0.3">
      <c r="F98" s="103"/>
    </row>
    <row r="99" spans="3:11" x14ac:dyDescent="0.3">
      <c r="F99" s="103"/>
    </row>
    <row r="100" spans="3:11" x14ac:dyDescent="0.3">
      <c r="F100" s="103"/>
    </row>
    <row r="101" spans="3:11" x14ac:dyDescent="0.3">
      <c r="C101" s="2" t="s">
        <v>234</v>
      </c>
      <c r="F101" s="103"/>
    </row>
    <row r="102" spans="3:11" x14ac:dyDescent="0.3">
      <c r="C102" s="2" t="str">
        <f>'Renewables Division'!C13</f>
        <v>Average sales price per KWh</v>
      </c>
      <c r="F102" s="103"/>
      <c r="G102" s="10"/>
      <c r="H102" s="10"/>
      <c r="I102" s="10"/>
      <c r="J102" s="10"/>
      <c r="K102" s="10"/>
    </row>
    <row r="103" spans="3:11" x14ac:dyDescent="0.3">
      <c r="C103" s="28" t="s">
        <v>374</v>
      </c>
      <c r="F103" s="139">
        <v>0.2</v>
      </c>
      <c r="G103" s="173">
        <f>G104*(1+$F$103)</f>
        <v>0.12</v>
      </c>
      <c r="H103" s="173">
        <f t="shared" ref="H103:K103" si="42">H104*(1+$F$103)</f>
        <v>0.12</v>
      </c>
      <c r="I103" s="173">
        <f t="shared" si="42"/>
        <v>0.12</v>
      </c>
      <c r="J103" s="173">
        <f t="shared" si="42"/>
        <v>0.12</v>
      </c>
      <c r="K103" s="173">
        <f t="shared" si="42"/>
        <v>0.12</v>
      </c>
    </row>
    <row r="104" spans="3:11" x14ac:dyDescent="0.3">
      <c r="C104" s="28" t="s">
        <v>200</v>
      </c>
      <c r="F104" s="103" t="s">
        <v>201</v>
      </c>
      <c r="G104" s="169">
        <v>0.1</v>
      </c>
      <c r="H104" s="169">
        <v>0.1</v>
      </c>
      <c r="I104" s="169">
        <v>0.1</v>
      </c>
      <c r="J104" s="169">
        <v>0.1</v>
      </c>
      <c r="K104" s="169">
        <v>0.1</v>
      </c>
    </row>
    <row r="105" spans="3:11" x14ac:dyDescent="0.3">
      <c r="C105" s="28" t="s">
        <v>373</v>
      </c>
      <c r="F105" s="139">
        <v>-0.2</v>
      </c>
      <c r="G105" s="173">
        <f>G104*(1+$F$105)</f>
        <v>8.0000000000000016E-2</v>
      </c>
      <c r="H105" s="173">
        <f t="shared" ref="H105:K105" si="43">H104*(1+$F$105)</f>
        <v>8.0000000000000016E-2</v>
      </c>
      <c r="I105" s="173">
        <f t="shared" si="43"/>
        <v>8.0000000000000016E-2</v>
      </c>
      <c r="J105" s="173">
        <f t="shared" si="43"/>
        <v>8.0000000000000016E-2</v>
      </c>
      <c r="K105" s="173">
        <f t="shared" si="43"/>
        <v>8.0000000000000016E-2</v>
      </c>
    </row>
    <row r="106" spans="3:11" x14ac:dyDescent="0.3">
      <c r="C106" s="28" t="s">
        <v>372</v>
      </c>
      <c r="F106" s="139">
        <v>-0.8</v>
      </c>
      <c r="G106" s="173">
        <f>G104*(1+$F$106)</f>
        <v>1.9999999999999997E-2</v>
      </c>
      <c r="H106" s="173">
        <f t="shared" ref="H106:K106" si="44">H104*(1+$F$106)</f>
        <v>1.9999999999999997E-2</v>
      </c>
      <c r="I106" s="173">
        <f t="shared" si="44"/>
        <v>1.9999999999999997E-2</v>
      </c>
      <c r="J106" s="173">
        <f t="shared" si="44"/>
        <v>1.9999999999999997E-2</v>
      </c>
      <c r="K106" s="173">
        <f t="shared" si="44"/>
        <v>1.9999999999999997E-2</v>
      </c>
    </row>
    <row r="107" spans="3:11" x14ac:dyDescent="0.3">
      <c r="C107" s="2" t="str">
        <f>'Renewables Division'!C12</f>
        <v>Capacity utilization factor</v>
      </c>
      <c r="F107" s="103"/>
      <c r="G107" s="10"/>
      <c r="H107" s="10"/>
      <c r="I107" s="10"/>
      <c r="J107" s="10"/>
      <c r="K107" s="10"/>
    </row>
    <row r="108" spans="3:11" x14ac:dyDescent="0.3">
      <c r="C108" s="28" t="s">
        <v>374</v>
      </c>
      <c r="F108" s="139">
        <v>0.02</v>
      </c>
      <c r="G108" s="132">
        <f>G109+$F$108</f>
        <v>0.13999999999999999</v>
      </c>
      <c r="H108" s="132">
        <f t="shared" ref="H108:K108" si="45">H109+$F$108</f>
        <v>0.13999999999999999</v>
      </c>
      <c r="I108" s="132">
        <f t="shared" si="45"/>
        <v>0.13999999999999999</v>
      </c>
      <c r="J108" s="132">
        <f t="shared" si="45"/>
        <v>0.13999999999999999</v>
      </c>
      <c r="K108" s="132">
        <f t="shared" si="45"/>
        <v>0.13999999999999999</v>
      </c>
    </row>
    <row r="109" spans="3:11" x14ac:dyDescent="0.3">
      <c r="C109" s="28" t="s">
        <v>200</v>
      </c>
      <c r="F109" s="103" t="s">
        <v>201</v>
      </c>
      <c r="G109" s="26">
        <v>0.12</v>
      </c>
      <c r="H109" s="26">
        <v>0.12</v>
      </c>
      <c r="I109" s="26">
        <v>0.12</v>
      </c>
      <c r="J109" s="26">
        <v>0.12</v>
      </c>
      <c r="K109" s="26">
        <v>0.12</v>
      </c>
    </row>
    <row r="110" spans="3:11" x14ac:dyDescent="0.3">
      <c r="C110" s="28" t="s">
        <v>373</v>
      </c>
      <c r="F110" s="139">
        <v>-0.02</v>
      </c>
      <c r="G110" s="132">
        <f>G109+$F$110</f>
        <v>9.9999999999999992E-2</v>
      </c>
      <c r="H110" s="132">
        <f t="shared" ref="H110:K110" si="46">H109+$F$110</f>
        <v>9.9999999999999992E-2</v>
      </c>
      <c r="I110" s="132">
        <f t="shared" si="46"/>
        <v>9.9999999999999992E-2</v>
      </c>
      <c r="J110" s="132">
        <f t="shared" si="46"/>
        <v>9.9999999999999992E-2</v>
      </c>
      <c r="K110" s="132">
        <f t="shared" si="46"/>
        <v>9.9999999999999992E-2</v>
      </c>
    </row>
    <row r="111" spans="3:11" x14ac:dyDescent="0.3">
      <c r="C111" s="28" t="s">
        <v>372</v>
      </c>
      <c r="F111" s="139">
        <v>-0.06</v>
      </c>
      <c r="G111" s="132">
        <f>G109+$F$111</f>
        <v>0.06</v>
      </c>
      <c r="H111" s="132">
        <f t="shared" ref="H111:K111" si="47">H109+$F$111</f>
        <v>0.06</v>
      </c>
      <c r="I111" s="132">
        <f t="shared" si="47"/>
        <v>0.06</v>
      </c>
      <c r="J111" s="132">
        <f t="shared" si="47"/>
        <v>0.06</v>
      </c>
      <c r="K111" s="132">
        <f t="shared" si="47"/>
        <v>0.06</v>
      </c>
    </row>
    <row r="112" spans="3:11" x14ac:dyDescent="0.3">
      <c r="C112" s="56" t="str">
        <f>'Renewables Division'!C23&amp;" "&amp;'Renewables Division'!C24&amp;" "&amp;LOWER('Renewables Division'!C2)</f>
        <v>Gross Profit margin renewables division</v>
      </c>
      <c r="F112" s="139"/>
      <c r="G112" s="132"/>
      <c r="H112" s="132"/>
      <c r="I112" s="132"/>
      <c r="J112" s="132"/>
      <c r="K112" s="132"/>
    </row>
    <row r="113" spans="3:11" x14ac:dyDescent="0.3">
      <c r="C113" s="28" t="s">
        <v>374</v>
      </c>
      <c r="F113" s="139">
        <v>0.05</v>
      </c>
      <c r="G113" s="132">
        <f>G114+$F$113</f>
        <v>0.8</v>
      </c>
      <c r="H113" s="132">
        <f t="shared" ref="H113:K113" si="48">H114+$F$113</f>
        <v>0.8</v>
      </c>
      <c r="I113" s="132">
        <f t="shared" si="48"/>
        <v>0.8</v>
      </c>
      <c r="J113" s="132">
        <f t="shared" si="48"/>
        <v>0.8</v>
      </c>
      <c r="K113" s="132">
        <f t="shared" si="48"/>
        <v>0.8</v>
      </c>
    </row>
    <row r="114" spans="3:11" x14ac:dyDescent="0.3">
      <c r="C114" s="28" t="s">
        <v>200</v>
      </c>
      <c r="F114" s="187" t="s">
        <v>201</v>
      </c>
      <c r="G114" s="26">
        <v>0.75</v>
      </c>
      <c r="H114" s="26">
        <v>0.75</v>
      </c>
      <c r="I114" s="26">
        <v>0.75</v>
      </c>
      <c r="J114" s="26">
        <v>0.75</v>
      </c>
      <c r="K114" s="26">
        <v>0.75</v>
      </c>
    </row>
    <row r="115" spans="3:11" x14ac:dyDescent="0.3">
      <c r="C115" s="28" t="s">
        <v>373</v>
      </c>
      <c r="F115" s="139">
        <v>-0.05</v>
      </c>
      <c r="G115" s="132">
        <f>G114+$F$115</f>
        <v>0.7</v>
      </c>
      <c r="H115" s="132">
        <f t="shared" ref="H115:K115" si="49">H114+$F$115</f>
        <v>0.7</v>
      </c>
      <c r="I115" s="132">
        <f t="shared" si="49"/>
        <v>0.7</v>
      </c>
      <c r="J115" s="132">
        <f t="shared" si="49"/>
        <v>0.7</v>
      </c>
      <c r="K115" s="132">
        <f t="shared" si="49"/>
        <v>0.7</v>
      </c>
    </row>
    <row r="116" spans="3:11" x14ac:dyDescent="0.3">
      <c r="C116" s="28" t="s">
        <v>372</v>
      </c>
      <c r="F116" s="139">
        <v>-0.15</v>
      </c>
      <c r="G116" s="132">
        <f>G114+$F$116</f>
        <v>0.6</v>
      </c>
      <c r="H116" s="132">
        <f t="shared" ref="H116:K116" si="50">H114+$F$116</f>
        <v>0.6</v>
      </c>
      <c r="I116" s="132">
        <f t="shared" si="50"/>
        <v>0.6</v>
      </c>
      <c r="J116" s="132">
        <f t="shared" si="50"/>
        <v>0.6</v>
      </c>
      <c r="K116" s="132">
        <f t="shared" si="50"/>
        <v>0.6</v>
      </c>
    </row>
    <row r="117" spans="3:11" x14ac:dyDescent="0.3">
      <c r="C117" s="56" t="str">
        <f>'Renewables Division'!C25&amp;" "&amp;'Renewables Division'!C26&amp;", "&amp;LOWER('Renewables Division'!C2)</f>
        <v>EBITDA margin, renewables division</v>
      </c>
      <c r="F117" s="103"/>
      <c r="G117" s="131"/>
      <c r="H117" s="131"/>
      <c r="I117" s="131"/>
      <c r="J117" s="131"/>
      <c r="K117" s="131"/>
    </row>
    <row r="118" spans="3:11" x14ac:dyDescent="0.3">
      <c r="C118" s="28" t="s">
        <v>374</v>
      </c>
      <c r="F118" s="139">
        <v>0.05</v>
      </c>
      <c r="G118" s="132">
        <f>G119+$F$118</f>
        <v>0.65</v>
      </c>
      <c r="H118" s="132">
        <f t="shared" ref="H118:K118" si="51">H119+$F$118</f>
        <v>0.66</v>
      </c>
      <c r="I118" s="132">
        <f t="shared" si="51"/>
        <v>0.67</v>
      </c>
      <c r="J118" s="132">
        <f t="shared" si="51"/>
        <v>0.68</v>
      </c>
      <c r="K118" s="132">
        <f t="shared" si="51"/>
        <v>0.69000000000000006</v>
      </c>
    </row>
    <row r="119" spans="3:11" x14ac:dyDescent="0.3">
      <c r="C119" s="28" t="s">
        <v>200</v>
      </c>
      <c r="F119" s="187" t="s">
        <v>201</v>
      </c>
      <c r="G119" s="26">
        <v>0.6</v>
      </c>
      <c r="H119" s="26">
        <v>0.61</v>
      </c>
      <c r="I119" s="26">
        <v>0.62</v>
      </c>
      <c r="J119" s="26">
        <v>0.63</v>
      </c>
      <c r="K119" s="26">
        <v>0.64</v>
      </c>
    </row>
    <row r="120" spans="3:11" x14ac:dyDescent="0.3">
      <c r="C120" s="28" t="s">
        <v>373</v>
      </c>
      <c r="F120" s="139">
        <v>-0.05</v>
      </c>
      <c r="G120" s="132">
        <f>G119+$F$120</f>
        <v>0.54999999999999993</v>
      </c>
      <c r="H120" s="132">
        <f t="shared" ref="H120:K120" si="52">H119+$F$120</f>
        <v>0.55999999999999994</v>
      </c>
      <c r="I120" s="132">
        <f t="shared" si="52"/>
        <v>0.56999999999999995</v>
      </c>
      <c r="J120" s="132">
        <f t="shared" si="52"/>
        <v>0.57999999999999996</v>
      </c>
      <c r="K120" s="132">
        <f t="shared" si="52"/>
        <v>0.59</v>
      </c>
    </row>
    <row r="121" spans="3:11" x14ac:dyDescent="0.3">
      <c r="C121" s="28" t="s">
        <v>372</v>
      </c>
      <c r="F121" s="139">
        <v>-0.15</v>
      </c>
      <c r="G121" s="25">
        <f>G119+$F$121</f>
        <v>0.44999999999999996</v>
      </c>
      <c r="H121" s="25">
        <f t="shared" ref="H121:K121" si="53">H119+$F$121</f>
        <v>0.45999999999999996</v>
      </c>
      <c r="I121" s="25">
        <f t="shared" si="53"/>
        <v>0.47</v>
      </c>
      <c r="J121" s="25">
        <f t="shared" si="53"/>
        <v>0.48</v>
      </c>
      <c r="K121" s="25">
        <f t="shared" si="53"/>
        <v>0.49</v>
      </c>
    </row>
  </sheetData>
  <dataValidations disablePrompts="1" count="1">
    <dataValidation type="list" allowBlank="1" showInputMessage="1" showErrorMessage="1" sqref="D3" xr:uid="{57CF3EDA-CDFF-49A6-B9B9-F91D8CB449C0}">
      <formula1>$C$27:$C$30</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FC582-CFEE-4AD4-8189-BC7D83B7F426}">
  <sheetPr codeName="Sheet5"/>
  <dimension ref="B2:X268"/>
  <sheetViews>
    <sheetView zoomScaleNormal="100" workbookViewId="0"/>
  </sheetViews>
  <sheetFormatPr defaultRowHeight="14.4" outlineLevelRow="1" x14ac:dyDescent="0.3"/>
  <cols>
    <col min="1" max="2" width="1.77734375" customWidth="1"/>
    <col min="3" max="3" width="44.5546875" customWidth="1"/>
    <col min="4" max="12" width="11.21875" bestFit="1" customWidth="1"/>
    <col min="13" max="13" width="1.77734375" customWidth="1"/>
  </cols>
  <sheetData>
    <row r="2" spans="2:14" x14ac:dyDescent="0.3">
      <c r="C2" s="2" t="s">
        <v>210</v>
      </c>
      <c r="J2" s="2"/>
    </row>
    <row r="3" spans="2:14" x14ac:dyDescent="0.3">
      <c r="C3" s="14" t="str">
        <f>Model!C12</f>
        <v>Fiscal year</v>
      </c>
      <c r="D3" s="6">
        <f>Model!D12</f>
        <v>2020</v>
      </c>
      <c r="E3" s="6">
        <f>Model!E12</f>
        <v>2021</v>
      </c>
      <c r="F3" s="6">
        <f>Model!F12</f>
        <v>2022</v>
      </c>
      <c r="G3" s="6">
        <f>Model!G12</f>
        <v>2023</v>
      </c>
      <c r="H3" s="7">
        <f>Model!H12</f>
        <v>2024</v>
      </c>
      <c r="I3" s="7">
        <f>Model!I12</f>
        <v>2025</v>
      </c>
      <c r="J3" s="7">
        <f>Model!J12</f>
        <v>2026</v>
      </c>
      <c r="K3" s="7">
        <f>Model!K12</f>
        <v>2027</v>
      </c>
      <c r="L3" s="7">
        <f>Model!L12</f>
        <v>2028</v>
      </c>
      <c r="N3" s="146" t="s">
        <v>26</v>
      </c>
    </row>
    <row r="4" spans="2:14" x14ac:dyDescent="0.3">
      <c r="C4" s="8" t="str">
        <f>Model!C13</f>
        <v>Fiscal year end date</v>
      </c>
      <c r="D4" s="9">
        <f>Model!D13</f>
        <v>44196</v>
      </c>
      <c r="E4" s="9">
        <f>Model!E13</f>
        <v>44561</v>
      </c>
      <c r="F4" s="9">
        <f>Model!F13</f>
        <v>44926</v>
      </c>
      <c r="G4" s="9">
        <f>Model!G13</f>
        <v>45291</v>
      </c>
      <c r="H4" s="9">
        <f>Model!H13</f>
        <v>45657</v>
      </c>
      <c r="I4" s="9">
        <f>Model!I13</f>
        <v>46022</v>
      </c>
      <c r="J4" s="9">
        <f>Model!J13</f>
        <v>46387</v>
      </c>
      <c r="K4" s="9">
        <f>Model!K13</f>
        <v>46752</v>
      </c>
      <c r="L4" s="9">
        <f>Model!L13</f>
        <v>47118</v>
      </c>
      <c r="N4" s="19" t="s">
        <v>27</v>
      </c>
    </row>
    <row r="5" spans="2:14" x14ac:dyDescent="0.3">
      <c r="B5" t="s">
        <v>7</v>
      </c>
      <c r="C5" s="2" t="s">
        <v>232</v>
      </c>
      <c r="D5" s="29"/>
      <c r="E5" s="29"/>
      <c r="F5" s="29"/>
      <c r="G5" s="29"/>
      <c r="H5" s="29"/>
      <c r="I5" s="29"/>
      <c r="J5" s="29"/>
      <c r="K5" s="29"/>
    </row>
    <row r="6" spans="2:14" x14ac:dyDescent="0.3">
      <c r="C6" t="s">
        <v>8</v>
      </c>
      <c r="D6" s="12">
        <f t="shared" ref="D6:G6" si="0">D24+D180+D199</f>
        <v>3901342</v>
      </c>
      <c r="E6" s="12">
        <f t="shared" si="0"/>
        <v>4589199</v>
      </c>
      <c r="F6" s="12">
        <f t="shared" si="0"/>
        <v>7102036</v>
      </c>
      <c r="G6" s="12">
        <f t="shared" si="0"/>
        <v>6581226</v>
      </c>
      <c r="H6" s="12">
        <f ca="1">H24+H180+H199</f>
        <v>6912876.1518941941</v>
      </c>
      <c r="I6" s="12">
        <f ca="1">I24+I180+I199</f>
        <v>6758898.3351983624</v>
      </c>
      <c r="J6" s="12">
        <f ca="1">J24+J180+J199</f>
        <v>7209423.4574867804</v>
      </c>
      <c r="K6" s="12">
        <f ca="1">K24+K180+K199</f>
        <v>8350887.3788784361</v>
      </c>
      <c r="L6" s="12">
        <f ca="1">L24+L180+L199</f>
        <v>9799044.3957088012</v>
      </c>
      <c r="N6" s="149">
        <f ca="1">((L6/G6)^(1/(COUNTA($H$3:$L$3)))-1)</f>
        <v>8.286766115779276E-2</v>
      </c>
    </row>
    <row r="7" spans="2:14" x14ac:dyDescent="0.3">
      <c r="C7" t="s">
        <v>396</v>
      </c>
      <c r="D7" s="12"/>
      <c r="E7" s="12"/>
      <c r="F7" s="12"/>
      <c r="G7" s="12"/>
      <c r="H7" s="12">
        <f ca="1">H148+H206+H195</f>
        <v>5354582.0402308665</v>
      </c>
      <c r="I7" s="12">
        <f ca="1">I148+I206+I195</f>
        <v>5220533.8881046204</v>
      </c>
      <c r="J7" s="12">
        <f ca="1">J148+J206+J195</f>
        <v>5581484.064333668</v>
      </c>
      <c r="K7" s="12">
        <f ca="1">K148+K206+K195</f>
        <v>6503298.8256662264</v>
      </c>
      <c r="L7" s="12">
        <f ca="1">L148+L206+L195</f>
        <v>7669292.2042457908</v>
      </c>
      <c r="N7" s="149"/>
    </row>
    <row r="8" spans="2:14" x14ac:dyDescent="0.3">
      <c r="C8" t="s">
        <v>9</v>
      </c>
      <c r="D8" s="12"/>
      <c r="E8" s="12"/>
      <c r="F8" s="12"/>
      <c r="G8" s="12"/>
      <c r="H8" s="12">
        <f ca="1">H121+H207+H196</f>
        <v>1558294.1116633271</v>
      </c>
      <c r="I8" s="12">
        <f ca="1">I121+I207+I196</f>
        <v>1538364.4470937431</v>
      </c>
      <c r="J8" s="12">
        <f ca="1">J121+J207+J196</f>
        <v>1627939.3931531124</v>
      </c>
      <c r="K8" s="12">
        <f ca="1">K121+K207+K196</f>
        <v>1847588.5532122105</v>
      </c>
      <c r="L8" s="12">
        <f ca="1">L121+L207+L196</f>
        <v>2129752.1914630099</v>
      </c>
      <c r="N8" s="149"/>
    </row>
    <row r="9" spans="2:14" x14ac:dyDescent="0.3">
      <c r="C9" s="28" t="s">
        <v>231</v>
      </c>
      <c r="D9" s="12"/>
      <c r="E9" s="12"/>
      <c r="F9" s="12"/>
      <c r="G9" s="12"/>
      <c r="H9" s="22">
        <f ca="1">H8/H6</f>
        <v>0.22541906977985415</v>
      </c>
      <c r="I9" s="22">
        <f ca="1">I8/I6</f>
        <v>0.22760579769078518</v>
      </c>
      <c r="J9" s="22">
        <f ca="1">J8/J6</f>
        <v>0.22580715403289897</v>
      </c>
      <c r="K9" s="22">
        <f ca="1">K8/K6</f>
        <v>0.2212445778978222</v>
      </c>
      <c r="L9" s="22">
        <f ca="1">L8/L6</f>
        <v>0.21734284543048618</v>
      </c>
    </row>
    <row r="10" spans="2:14" x14ac:dyDescent="0.3">
      <c r="C10" t="s">
        <v>13</v>
      </c>
      <c r="D10" s="12">
        <f>D160+D210</f>
        <v>528000</v>
      </c>
      <c r="E10" s="12">
        <f>E160+E210</f>
        <v>551000</v>
      </c>
      <c r="F10" s="12">
        <f>F160+F210</f>
        <v>681000</v>
      </c>
      <c r="G10" s="12">
        <f t="shared" ref="G10" si="1">G160+G210</f>
        <v>797000</v>
      </c>
      <c r="H10" s="12">
        <f ca="1">H160+H210</f>
        <v>804064.06839277863</v>
      </c>
      <c r="I10" s="12">
        <f ca="1">I160+I210</f>
        <v>781760.17679666914</v>
      </c>
      <c r="J10" s="12">
        <f ca="1">J160+J210</f>
        <v>826036.59372430027</v>
      </c>
      <c r="K10" s="12">
        <f ca="1">K160+K210</f>
        <v>945871.60407412844</v>
      </c>
      <c r="L10" s="12">
        <f ca="1">L160+L210</f>
        <v>1098357.3806776074</v>
      </c>
      <c r="N10" s="149">
        <f ca="1">((L10/G10)^(1/(COUNTA($H$3:$L$3)))-1)</f>
        <v>6.6245153801387957E-2</v>
      </c>
    </row>
    <row r="11" spans="2:14" x14ac:dyDescent="0.3">
      <c r="C11" s="28" t="s">
        <v>231</v>
      </c>
      <c r="D11" s="22">
        <f>D10/D6</f>
        <v>0.13533804521623585</v>
      </c>
      <c r="E11" s="22">
        <f t="shared" ref="E11:F11" si="2">E10/E6</f>
        <v>0.1200645254215387</v>
      </c>
      <c r="F11" s="22">
        <f t="shared" si="2"/>
        <v>9.5887996061974345E-2</v>
      </c>
      <c r="G11" s="22">
        <f t="shared" ref="G11" si="3">G10/G6</f>
        <v>0.12110205606067927</v>
      </c>
      <c r="H11" s="22">
        <f ca="1">H10/H6</f>
        <v>0.11631396986223418</v>
      </c>
      <c r="I11" s="22">
        <f ca="1">I10/I6</f>
        <v>0.11566384609241585</v>
      </c>
      <c r="J11" s="22">
        <f ca="1">J10/J6</f>
        <v>0.11457734430434723</v>
      </c>
      <c r="K11" s="22">
        <f ca="1">K10/K6</f>
        <v>0.11326599930762848</v>
      </c>
      <c r="L11" s="22">
        <f ca="1">L10/L6</f>
        <v>0.11208821353627096</v>
      </c>
    </row>
    <row r="12" spans="2:14" x14ac:dyDescent="0.3">
      <c r="C12" t="s">
        <v>241</v>
      </c>
      <c r="D12" s="12">
        <f>D172+D213</f>
        <v>219000</v>
      </c>
      <c r="E12" s="12">
        <f>E172+E213</f>
        <v>205000</v>
      </c>
      <c r="F12" s="12">
        <f>F172+F213</f>
        <v>215000</v>
      </c>
      <c r="G12" s="12">
        <f t="shared" ref="G12" si="4">G172+G213</f>
        <v>206000</v>
      </c>
      <c r="H12" s="12">
        <f t="shared" ref="H12:L12" si="5">H172+H213</f>
        <v>206000</v>
      </c>
      <c r="I12" s="12">
        <f t="shared" si="5"/>
        <v>206000</v>
      </c>
      <c r="J12" s="12">
        <f t="shared" si="5"/>
        <v>206000</v>
      </c>
      <c r="K12" s="12">
        <f t="shared" si="5"/>
        <v>206000</v>
      </c>
      <c r="L12" s="12">
        <f t="shared" si="5"/>
        <v>206000</v>
      </c>
      <c r="N12" s="149"/>
    </row>
    <row r="13" spans="2:14" x14ac:dyDescent="0.3">
      <c r="C13" s="28" t="s">
        <v>242</v>
      </c>
      <c r="D13" s="120">
        <f>_xlfn.XLOOKUP(D3,Model!198:198,Model!208:208)</f>
        <v>0.97996189383919574</v>
      </c>
      <c r="E13" s="120">
        <f>_xlfn.XLOOKUP(E3,Model!198:198,Model!208:208)</f>
        <v>0.97818906006146888</v>
      </c>
      <c r="F13" s="120">
        <f>_xlfn.XLOOKUP(F3,Model!198:198,Model!208:208)</f>
        <v>0.96792693196294777</v>
      </c>
      <c r="G13" s="120">
        <f>_xlfn.XLOOKUP(G3,Model!198:198,Model!208:208)</f>
        <v>0.97737827139080447</v>
      </c>
      <c r="H13" s="64">
        <f>AVERAGE(E13:G13)</f>
        <v>0.97449808780507363</v>
      </c>
      <c r="I13" s="64">
        <f>H13</f>
        <v>0.97449808780507363</v>
      </c>
      <c r="J13" s="64">
        <f t="shared" ref="J13:J14" si="6">I13</f>
        <v>0.97449808780507363</v>
      </c>
      <c r="K13" s="64">
        <f t="shared" ref="K13:K14" si="7">J13</f>
        <v>0.97449808780507363</v>
      </c>
      <c r="L13" s="64">
        <f t="shared" ref="L13:L14" si="8">K13</f>
        <v>0.97449808780507363</v>
      </c>
    </row>
    <row r="14" spans="2:14" x14ac:dyDescent="0.3">
      <c r="C14" s="28" t="s">
        <v>243</v>
      </c>
      <c r="D14" s="120">
        <f>_xlfn.XLOOKUP(D3,Model!233:233,Model!243:243)</f>
        <v>2.00381061608043E-2</v>
      </c>
      <c r="E14" s="120">
        <f>_xlfn.XLOOKUP(E3,Model!233:233,Model!243:243)</f>
        <v>2.1810939938531063E-2</v>
      </c>
      <c r="F14" s="120">
        <f>_xlfn.XLOOKUP(F3,Model!233:233,Model!243:243)</f>
        <v>3.2073068037052233E-2</v>
      </c>
      <c r="G14" s="120">
        <f>_xlfn.XLOOKUP(G3,Model!233:233,Model!243:243)</f>
        <v>2.2621728609195563E-2</v>
      </c>
      <c r="H14" s="64">
        <f t="shared" ref="H14" si="9">AVERAGE(E14:G14)</f>
        <v>2.5501912194926285E-2</v>
      </c>
      <c r="I14" s="64">
        <f t="shared" ref="I14" si="10">H14</f>
        <v>2.5501912194926285E-2</v>
      </c>
      <c r="J14" s="64">
        <f t="shared" si="6"/>
        <v>2.5501912194926285E-2</v>
      </c>
      <c r="K14" s="64">
        <f t="shared" si="7"/>
        <v>2.5501912194926285E-2</v>
      </c>
      <c r="L14" s="64">
        <f t="shared" si="8"/>
        <v>2.5501912194926285E-2</v>
      </c>
    </row>
    <row r="15" spans="2:14" x14ac:dyDescent="0.3">
      <c r="C15" s="28" t="s">
        <v>245</v>
      </c>
      <c r="D15" s="12">
        <f t="shared" ref="D15:F16" si="11">D13*D$12</f>
        <v>214611.65475078387</v>
      </c>
      <c r="E15" s="12">
        <f t="shared" si="11"/>
        <v>200528.75731260111</v>
      </c>
      <c r="F15" s="12">
        <f t="shared" si="11"/>
        <v>208104.29037203378</v>
      </c>
      <c r="G15" s="12">
        <f t="shared" ref="G15" si="12">G13*G$12</f>
        <v>201339.92390650572</v>
      </c>
      <c r="H15" s="12">
        <f t="shared" ref="H15:L15" si="13">H13*H$12</f>
        <v>200746.60608784517</v>
      </c>
      <c r="I15" s="12">
        <f t="shared" si="13"/>
        <v>200746.60608784517</v>
      </c>
      <c r="J15" s="12">
        <f t="shared" si="13"/>
        <v>200746.60608784517</v>
      </c>
      <c r="K15" s="12">
        <f t="shared" si="13"/>
        <v>200746.60608784517</v>
      </c>
      <c r="L15" s="12">
        <f t="shared" si="13"/>
        <v>200746.60608784517</v>
      </c>
    </row>
    <row r="16" spans="2:14" x14ac:dyDescent="0.3">
      <c r="C16" s="28" t="s">
        <v>244</v>
      </c>
      <c r="D16" s="12">
        <f t="shared" si="11"/>
        <v>4388.3452492161414</v>
      </c>
      <c r="E16" s="12">
        <f t="shared" si="11"/>
        <v>4471.2426873988679</v>
      </c>
      <c r="F16" s="12">
        <f t="shared" si="11"/>
        <v>6895.7096279662301</v>
      </c>
      <c r="G16" s="12">
        <f t="shared" ref="G16" si="14">G14*G$12</f>
        <v>4660.0760934942855</v>
      </c>
      <c r="H16" s="12">
        <f t="shared" ref="H16:L16" si="15">H14*H$12</f>
        <v>5253.3939121548146</v>
      </c>
      <c r="I16" s="12">
        <f t="shared" si="15"/>
        <v>5253.3939121548146</v>
      </c>
      <c r="J16" s="12">
        <f t="shared" si="15"/>
        <v>5253.3939121548146</v>
      </c>
      <c r="K16" s="12">
        <f t="shared" si="15"/>
        <v>5253.3939121548146</v>
      </c>
      <c r="L16" s="12">
        <f t="shared" si="15"/>
        <v>5253.3939121548146</v>
      </c>
    </row>
    <row r="17" spans="2:15" x14ac:dyDescent="0.3">
      <c r="C17" s="28"/>
      <c r="D17" s="12"/>
      <c r="E17" s="12"/>
      <c r="F17" s="12"/>
      <c r="G17" s="12"/>
      <c r="H17" s="12"/>
      <c r="I17" s="12"/>
      <c r="J17" s="12"/>
      <c r="K17" s="12"/>
    </row>
    <row r="18" spans="2:15" x14ac:dyDescent="0.3">
      <c r="D18" s="12"/>
      <c r="E18" s="12"/>
      <c r="F18" s="12"/>
      <c r="G18" s="12"/>
      <c r="H18" s="12"/>
      <c r="I18" s="12"/>
      <c r="J18" s="11"/>
      <c r="L18" s="142" t="str">
        <f>UPPER("Active scenario: "&amp;'Scenario Analysis'!$D$3)</f>
        <v>ACTIVE SCENARIO: BASE CASE</v>
      </c>
    </row>
    <row r="19" spans="2:15" x14ac:dyDescent="0.3">
      <c r="B19" t="s">
        <v>7</v>
      </c>
      <c r="C19" s="2" t="s">
        <v>435</v>
      </c>
      <c r="D19" s="10"/>
      <c r="E19" s="10"/>
      <c r="F19" s="10"/>
    </row>
    <row r="20" spans="2:15" x14ac:dyDescent="0.3">
      <c r="C20" s="114" t="s">
        <v>217</v>
      </c>
      <c r="D20" s="34" t="s">
        <v>82</v>
      </c>
      <c r="E20" s="33"/>
      <c r="F20" s="33"/>
      <c r="G20" s="34"/>
      <c r="H20" s="34" t="s">
        <v>83</v>
      </c>
      <c r="I20" s="33"/>
      <c r="J20" s="33"/>
      <c r="K20" s="33"/>
      <c r="L20" s="33"/>
    </row>
    <row r="21" spans="2:15" x14ac:dyDescent="0.3">
      <c r="C21" s="28" t="s">
        <v>203</v>
      </c>
      <c r="D21" s="10">
        <v>550605</v>
      </c>
      <c r="E21" s="10">
        <v>681726</v>
      </c>
      <c r="F21" s="10">
        <v>832609</v>
      </c>
      <c r="G21" s="10">
        <v>799955</v>
      </c>
      <c r="H21" s="12">
        <f t="shared" ref="H21:L23" ca="1" si="16">H33*H112</f>
        <v>824154.34342919488</v>
      </c>
      <c r="I21" s="12">
        <f t="shared" ca="1" si="16"/>
        <v>784038.15155719733</v>
      </c>
      <c r="J21" s="12">
        <f t="shared" ca="1" si="16"/>
        <v>815313.7407091147</v>
      </c>
      <c r="K21" s="12">
        <f t="shared" ca="1" si="16"/>
        <v>912031.75423302187</v>
      </c>
      <c r="L21" s="12">
        <f t="shared" ca="1" si="16"/>
        <v>1019874.8752421449</v>
      </c>
      <c r="N21" s="149">
        <f ca="1">((L21/G21)^(1/(COUNTA($H$3:$L$3)))-1)</f>
        <v>4.9775099492030517E-2</v>
      </c>
    </row>
    <row r="22" spans="2:15" x14ac:dyDescent="0.3">
      <c r="C22" s="28" t="s">
        <v>509</v>
      </c>
      <c r="D22" s="10">
        <v>1332652</v>
      </c>
      <c r="E22" s="10">
        <v>1649382</v>
      </c>
      <c r="F22" s="10">
        <v>2577392</v>
      </c>
      <c r="G22" s="10">
        <v>2355000</v>
      </c>
      <c r="H22" s="12">
        <f t="shared" ca="1" si="16"/>
        <v>2470457.8334459909</v>
      </c>
      <c r="I22" s="12">
        <f t="shared" ca="1" si="16"/>
        <v>2385293.1672444819</v>
      </c>
      <c r="J22" s="12">
        <f t="shared" ca="1" si="16"/>
        <v>2511686.4658362018</v>
      </c>
      <c r="K22" s="12">
        <f t="shared" ca="1" si="16"/>
        <v>2859820.9039973095</v>
      </c>
      <c r="L22" s="12">
        <f t="shared" ca="1" si="16"/>
        <v>3273070.2883197214</v>
      </c>
      <c r="N22" s="149">
        <f ca="1">((L22/G22)^(1/(COUNTA($H$3:$L$3)))-1)</f>
        <v>6.8053196338648148E-2</v>
      </c>
    </row>
    <row r="23" spans="2:15" x14ac:dyDescent="0.3">
      <c r="C23" s="106" t="s">
        <v>204</v>
      </c>
      <c r="D23" s="113">
        <v>1450400</v>
      </c>
      <c r="E23" s="113">
        <v>1661804</v>
      </c>
      <c r="F23" s="113">
        <v>2650777</v>
      </c>
      <c r="G23" s="113">
        <v>2394000</v>
      </c>
      <c r="H23" s="101">
        <f ca="1">H35*H114</f>
        <v>2624268.3124412317</v>
      </c>
      <c r="I23" s="101">
        <f t="shared" ca="1" si="16"/>
        <v>2649454.0890164166</v>
      </c>
      <c r="J23" s="101">
        <f t="shared" ca="1" si="16"/>
        <v>2938458.4227569904</v>
      </c>
      <c r="K23" s="101">
        <f t="shared" ca="1" si="16"/>
        <v>3567511.5352872587</v>
      </c>
      <c r="L23" s="101">
        <f t="shared" ca="1" si="16"/>
        <v>4405181.1408897378</v>
      </c>
      <c r="N23" s="149">
        <f ca="1">((L23/G23)^(1/(COUNTA($H$3:$L$3)))-1)</f>
        <v>0.12971247631935112</v>
      </c>
    </row>
    <row r="24" spans="2:15" x14ac:dyDescent="0.3">
      <c r="C24" s="23" t="s">
        <v>218</v>
      </c>
      <c r="D24" s="81">
        <f t="shared" ref="D24:E24" si="17">SUM(D21:D23)</f>
        <v>3333657</v>
      </c>
      <c r="E24" s="81">
        <f t="shared" si="17"/>
        <v>3992912</v>
      </c>
      <c r="F24" s="81">
        <f t="shared" ref="F24:L24" si="18">SUM(F21:F23)</f>
        <v>6060778</v>
      </c>
      <c r="G24" s="81">
        <f t="shared" si="18"/>
        <v>5548955</v>
      </c>
      <c r="H24" s="12">
        <f t="shared" ca="1" si="18"/>
        <v>5918880.4893164169</v>
      </c>
      <c r="I24" s="12">
        <f t="shared" ca="1" si="18"/>
        <v>5818785.4078180958</v>
      </c>
      <c r="J24" s="12">
        <f t="shared" ca="1" si="18"/>
        <v>6265458.629302307</v>
      </c>
      <c r="K24" s="12">
        <f t="shared" ca="1" si="18"/>
        <v>7339364.1935175899</v>
      </c>
      <c r="L24" s="12">
        <f t="shared" ca="1" si="18"/>
        <v>8698126.3044516034</v>
      </c>
      <c r="N24" s="149">
        <f ca="1">((L24/G24)^(1/(COUNTA($H$3:$L$3)))-1)</f>
        <v>9.4064437058063666E-2</v>
      </c>
    </row>
    <row r="25" spans="2:15" x14ac:dyDescent="0.3">
      <c r="C25" s="23"/>
      <c r="D25" s="117"/>
      <c r="E25" s="117"/>
      <c r="F25" s="117"/>
      <c r="G25" s="117"/>
      <c r="H25" s="117"/>
      <c r="I25" s="117"/>
      <c r="J25" s="117"/>
      <c r="K25" s="117"/>
      <c r="L25" s="117"/>
    </row>
    <row r="26" spans="2:15" x14ac:dyDescent="0.3">
      <c r="C26" s="114" t="s">
        <v>474</v>
      </c>
      <c r="D26" s="81"/>
      <c r="E26" s="117"/>
      <c r="F26" s="117"/>
      <c r="G26" s="117"/>
      <c r="H26" s="12"/>
      <c r="I26" s="12"/>
      <c r="J26" s="12"/>
      <c r="K26" s="12"/>
      <c r="L26" s="22"/>
    </row>
    <row r="27" spans="2:15" x14ac:dyDescent="0.3">
      <c r="C27" s="28" t="s">
        <v>203</v>
      </c>
      <c r="D27" s="117">
        <f>D21/D$24</f>
        <v>0.1651654624335977</v>
      </c>
      <c r="E27" s="117">
        <f t="shared" ref="E27:G27" si="19">E21/E$24</f>
        <v>0.1707340407201561</v>
      </c>
      <c r="F27" s="117">
        <f t="shared" si="19"/>
        <v>0.13737658762620905</v>
      </c>
      <c r="G27" s="117">
        <f t="shared" si="19"/>
        <v>0.1441631802744841</v>
      </c>
      <c r="H27" s="117">
        <f t="shared" ref="H27:L30" ca="1" si="20">H21/H$24</f>
        <v>0.13924159220933655</v>
      </c>
      <c r="I27" s="117">
        <f t="shared" ca="1" si="20"/>
        <v>0.13474257883849214</v>
      </c>
      <c r="J27" s="117">
        <f t="shared" ca="1" si="20"/>
        <v>0.13012834158636913</v>
      </c>
      <c r="K27" s="117">
        <f t="shared" ca="1" si="20"/>
        <v>0.12426577155532949</v>
      </c>
      <c r="L27" s="117">
        <f t="shared" ca="1" si="20"/>
        <v>0.1172522494551711</v>
      </c>
      <c r="O27" s="22"/>
    </row>
    <row r="28" spans="2:15" x14ac:dyDescent="0.3">
      <c r="C28" s="28" t="s">
        <v>509</v>
      </c>
      <c r="D28" s="117">
        <f t="shared" ref="D28:G30" si="21">D22/D$24</f>
        <v>0.39975678361631084</v>
      </c>
      <c r="E28" s="117">
        <f t="shared" si="21"/>
        <v>0.41307747328265687</v>
      </c>
      <c r="F28" s="117">
        <f t="shared" si="21"/>
        <v>0.42525761544144991</v>
      </c>
      <c r="G28" s="117">
        <f t="shared" si="21"/>
        <v>0.42440423467121285</v>
      </c>
      <c r="H28" s="117">
        <f t="shared" ca="1" si="20"/>
        <v>0.4173859968798439</v>
      </c>
      <c r="I28" s="117">
        <f t="shared" ca="1" si="20"/>
        <v>0.40992973620226858</v>
      </c>
      <c r="J28" s="117">
        <f t="shared" ca="1" si="20"/>
        <v>0.40087830986378914</v>
      </c>
      <c r="K28" s="117">
        <f t="shared" ca="1" si="20"/>
        <v>0.38965512932621793</v>
      </c>
      <c r="L28" s="117">
        <f t="shared" ca="1" si="20"/>
        <v>0.37629601752788999</v>
      </c>
      <c r="O28" s="22"/>
    </row>
    <row r="29" spans="2:15" x14ac:dyDescent="0.3">
      <c r="C29" s="106" t="s">
        <v>204</v>
      </c>
      <c r="D29" s="118">
        <f t="shared" si="21"/>
        <v>0.43507775395009146</v>
      </c>
      <c r="E29" s="118">
        <f t="shared" si="21"/>
        <v>0.416188485997187</v>
      </c>
      <c r="F29" s="118">
        <f t="shared" si="21"/>
        <v>0.43736579693234101</v>
      </c>
      <c r="G29" s="118">
        <f t="shared" si="21"/>
        <v>0.43143258505430304</v>
      </c>
      <c r="H29" s="118">
        <f t="shared" ca="1" si="20"/>
        <v>0.44337241091081964</v>
      </c>
      <c r="I29" s="118">
        <f t="shared" ca="1" si="20"/>
        <v>0.45532768495923931</v>
      </c>
      <c r="J29" s="118">
        <f t="shared" ca="1" si="20"/>
        <v>0.4689933485498417</v>
      </c>
      <c r="K29" s="118">
        <f t="shared" ca="1" si="20"/>
        <v>0.4860790991184526</v>
      </c>
      <c r="L29" s="118">
        <f t="shared" ca="1" si="20"/>
        <v>0.50645173301693902</v>
      </c>
      <c r="O29" s="22"/>
    </row>
    <row r="30" spans="2:15" x14ac:dyDescent="0.3">
      <c r="C30" s="23" t="s">
        <v>218</v>
      </c>
      <c r="D30" s="183">
        <f t="shared" si="21"/>
        <v>1</v>
      </c>
      <c r="E30" s="183">
        <f t="shared" si="21"/>
        <v>1</v>
      </c>
      <c r="F30" s="183">
        <f t="shared" si="21"/>
        <v>1</v>
      </c>
      <c r="G30" s="183">
        <f t="shared" si="21"/>
        <v>1</v>
      </c>
      <c r="H30" s="183">
        <f t="shared" ca="1" si="20"/>
        <v>1</v>
      </c>
      <c r="I30" s="183">
        <f t="shared" ca="1" si="20"/>
        <v>1</v>
      </c>
      <c r="J30" s="183">
        <f t="shared" ca="1" si="20"/>
        <v>1</v>
      </c>
      <c r="K30" s="183">
        <f t="shared" ca="1" si="20"/>
        <v>1</v>
      </c>
      <c r="L30" s="183">
        <f t="shared" ca="1" si="20"/>
        <v>1</v>
      </c>
      <c r="O30" s="22"/>
    </row>
    <row r="31" spans="2:15" x14ac:dyDescent="0.3">
      <c r="C31" s="23"/>
      <c r="D31" s="81"/>
      <c r="E31" s="81"/>
      <c r="F31" s="81"/>
      <c r="G31" s="12"/>
      <c r="H31" s="12"/>
      <c r="I31" s="12"/>
      <c r="J31" s="12"/>
      <c r="K31" s="12"/>
    </row>
    <row r="32" spans="2:15" x14ac:dyDescent="0.3">
      <c r="C32" s="114" t="s">
        <v>439</v>
      </c>
      <c r="D32" s="34" t="s">
        <v>82</v>
      </c>
      <c r="E32" s="33"/>
      <c r="F32" s="33"/>
      <c r="G32" s="34"/>
      <c r="H32" s="34" t="s">
        <v>83</v>
      </c>
      <c r="I32" s="33"/>
      <c r="J32" s="33"/>
      <c r="K32" s="33"/>
      <c r="L32" s="33"/>
    </row>
    <row r="33" spans="3:24" x14ac:dyDescent="0.3">
      <c r="C33" s="28" t="s">
        <v>203</v>
      </c>
      <c r="D33" s="81"/>
      <c r="E33" s="81"/>
      <c r="F33" s="81"/>
      <c r="G33" s="121"/>
      <c r="H33" s="121">
        <f ca="1">_xlfn.XLOOKUP(H$3,'Scenario Analysis'!$G$3:$K$3,'Scenario Analysis'!$G$6:$K$6)</f>
        <v>883.35322518869293</v>
      </c>
      <c r="I33" s="121">
        <f ca="1">_xlfn.XLOOKUP(I3,'Scenario Analysis'!$G$3:$K$3,'Scenario Analysis'!$G$6:$K$6)</f>
        <v>907.08558984267916</v>
      </c>
      <c r="J33" s="121">
        <f ca="1">_xlfn.XLOOKUP(J3,'Scenario Analysis'!$G$3:$K$3,'Scenario Analysis'!$G$6:$K$6)</f>
        <v>933.21694147829442</v>
      </c>
      <c r="K33" s="121">
        <f ca="1">_xlfn.XLOOKUP(K3,'Scenario Analysis'!$G$3:$K$3,'Scenario Analysis'!$G$6:$K$6)</f>
        <v>954.66858518293611</v>
      </c>
      <c r="L33" s="121">
        <f ca="1">_xlfn.XLOOKUP(L3,'Scenario Analysis'!$G$3:$K$3,'Scenario Analysis'!$G$6:$K$6)</f>
        <v>971.47857025804387</v>
      </c>
      <c r="N33" s="149"/>
    </row>
    <row r="34" spans="3:24" x14ac:dyDescent="0.3">
      <c r="C34" s="28" t="s">
        <v>509</v>
      </c>
      <c r="D34" s="81"/>
      <c r="E34" s="81"/>
      <c r="F34" s="81"/>
      <c r="G34" s="121"/>
      <c r="H34" s="121">
        <f ca="1">_xlfn.XLOOKUP(H$3,'Scenario Analysis'!$G$3:$K$3,'Scenario Analysis'!$G$7:$K$7)</f>
        <v>2278.4061000000002</v>
      </c>
      <c r="I34" s="121">
        <f ca="1">_xlfn.XLOOKUP(I$3,'Scenario Analysis'!$G$3:$K$3,'Scenario Analysis'!$G$7:$K$7)</f>
        <v>2374.5464940000006</v>
      </c>
      <c r="J34" s="121">
        <f ca="1">_xlfn.XLOOKUP(J$3,'Scenario Analysis'!$G$3:$K$3,'Scenario Analysis'!$G$7:$K$7)</f>
        <v>2473.7233010300001</v>
      </c>
      <c r="K34" s="121">
        <f ca="1">_xlfn.XLOOKUP(K$3,'Scenario Analysis'!$G$3:$K$3,'Scenario Analysis'!$G$7:$K$7)</f>
        <v>2575.7834617927001</v>
      </c>
      <c r="L34" s="121">
        <f ca="1">_xlfn.XLOOKUP(L$3,'Scenario Analysis'!$G$3:$K$3,'Scenario Analysis'!$G$7:$K$7)</f>
        <v>2682.6839167329022</v>
      </c>
      <c r="N34" s="149"/>
    </row>
    <row r="35" spans="3:24" x14ac:dyDescent="0.3">
      <c r="C35" s="28" t="s">
        <v>204</v>
      </c>
      <c r="D35" s="109"/>
      <c r="E35" s="109"/>
      <c r="F35" s="109"/>
      <c r="G35" s="126"/>
      <c r="H35" s="126">
        <f ca="1">_xlfn.XLOOKUP(H$3,'Scenario Analysis'!$G$3:$K$3,'Scenario Analysis'!$G$8:$K$8)</f>
        <v>2814.2953900000002</v>
      </c>
      <c r="I35" s="126">
        <f ca="1">_xlfn.XLOOKUP(I$3,'Scenario Analysis'!$G$3:$K$3,'Scenario Analysis'!$G$8:$K$8)</f>
        <v>3066.9243627699998</v>
      </c>
      <c r="J35" s="126">
        <f ca="1">_xlfn.XLOOKUP(J$3,'Scenario Analysis'!$G$3:$K$3,'Scenario Analysis'!$G$8:$K$8)</f>
        <v>3365.2164124804099</v>
      </c>
      <c r="K35" s="126">
        <f ca="1">_xlfn.XLOOKUP(K$3,'Scenario Analysis'!$G$3:$K$3,'Scenario Analysis'!$G$8:$K$8)</f>
        <v>3736.3164662611625</v>
      </c>
      <c r="L35" s="126">
        <f ca="1">_xlfn.XLOOKUP(L$3,'Scenario Analysis'!$G$3:$K$3,'Scenario Analysis'!$G$8:$K$8)</f>
        <v>4198.4182274506429</v>
      </c>
      <c r="N35" s="149"/>
    </row>
    <row r="36" spans="3:24" x14ac:dyDescent="0.3">
      <c r="C36" s="110" t="str">
        <f>"Total volumes, active scenario ("&amp;'Scenario Analysis'!D3&amp;")"</f>
        <v>Total volumes, active scenario (Base case)</v>
      </c>
      <c r="D36" s="12">
        <f t="shared" ref="D36:F36" si="22">D61</f>
        <v>5048</v>
      </c>
      <c r="E36" s="12">
        <f t="shared" si="22"/>
        <v>5401</v>
      </c>
      <c r="F36" s="12">
        <f t="shared" si="22"/>
        <v>5486.4019999999991</v>
      </c>
      <c r="G36" s="12">
        <f>G61</f>
        <v>5718</v>
      </c>
      <c r="H36" s="12">
        <f ca="1">SUM(H33:H35)</f>
        <v>5976.0547151886931</v>
      </c>
      <c r="I36" s="12">
        <f ca="1">SUM(I33:I35)</f>
        <v>6348.5564466126798</v>
      </c>
      <c r="J36" s="12">
        <f ca="1">SUM(J33:J35)</f>
        <v>6772.1566549887048</v>
      </c>
      <c r="K36" s="12">
        <f ca="1">SUM(K33:K35)</f>
        <v>7266.7685132367988</v>
      </c>
      <c r="L36" s="12">
        <f ca="1">SUM(L33:L35)</f>
        <v>7852.5807144415885</v>
      </c>
      <c r="N36" s="149"/>
    </row>
    <row r="37" spans="3:24" x14ac:dyDescent="0.3">
      <c r="C37" s="211" t="s">
        <v>443</v>
      </c>
      <c r="D37" s="10"/>
      <c r="E37" s="212">
        <f>E36/D36-1</f>
        <v>6.9928684627575288E-2</v>
      </c>
      <c r="F37" s="212">
        <f t="shared" ref="F37:G37" si="23">F36/E36-1</f>
        <v>1.5812256989446327E-2</v>
      </c>
      <c r="G37" s="212">
        <f t="shared" si="23"/>
        <v>4.2213093389802836E-2</v>
      </c>
      <c r="H37" s="212">
        <f ca="1">H36/G36-1</f>
        <v>4.5130240501695118E-2</v>
      </c>
      <c r="I37" s="212">
        <f ca="1">I36/H36-1</f>
        <v>6.2332383014706894E-2</v>
      </c>
      <c r="J37" s="212">
        <f ca="1">J36/I36-1</f>
        <v>6.6723862651018928E-2</v>
      </c>
      <c r="K37" s="212">
        <f ca="1">K36/J36-1</f>
        <v>7.303609225928609E-2</v>
      </c>
      <c r="L37" s="212">
        <f ca="1">L36/K36-1</f>
        <v>8.0615228094537805E-2</v>
      </c>
    </row>
    <row r="38" spans="3:24" x14ac:dyDescent="0.3">
      <c r="C38" s="23"/>
      <c r="D38" s="10"/>
      <c r="E38" s="10"/>
      <c r="F38" s="10"/>
      <c r="G38" s="12"/>
      <c r="H38" s="12"/>
      <c r="I38" s="12"/>
      <c r="J38" s="12"/>
      <c r="K38" s="12"/>
    </row>
    <row r="39" spans="3:24" x14ac:dyDescent="0.3">
      <c r="C39" s="114" t="s">
        <v>273</v>
      </c>
      <c r="D39" s="34" t="s">
        <v>82</v>
      </c>
      <c r="E39" s="33"/>
      <c r="F39" s="33"/>
      <c r="G39" s="33"/>
      <c r="H39" s="34" t="s">
        <v>83</v>
      </c>
      <c r="I39" s="33"/>
      <c r="J39" s="33"/>
      <c r="K39" s="33"/>
      <c r="L39" s="33"/>
    </row>
    <row r="40" spans="3:24" x14ac:dyDescent="0.3">
      <c r="C40" s="46" t="s">
        <v>203</v>
      </c>
      <c r="D40" s="16">
        <f>SUM(D41:D46)</f>
        <v>816</v>
      </c>
      <c r="E40" s="16">
        <f t="shared" ref="E40:H40" si="24">SUM(E41:E46)</f>
        <v>872</v>
      </c>
      <c r="F40" s="16">
        <f t="shared" si="24"/>
        <v>855.59199999999998</v>
      </c>
      <c r="G40" s="16">
        <f t="shared" si="24"/>
        <v>876</v>
      </c>
      <c r="H40" s="16">
        <f t="shared" si="24"/>
        <v>883.35322518869293</v>
      </c>
      <c r="I40" s="16">
        <f t="shared" ref="I40:L40" si="25">SUM(I41:I46)</f>
        <v>907.08558984267916</v>
      </c>
      <c r="J40" s="16">
        <f t="shared" si="25"/>
        <v>933.21694147829442</v>
      </c>
      <c r="K40" s="16">
        <f t="shared" si="25"/>
        <v>954.66858518293611</v>
      </c>
      <c r="L40" s="16">
        <f t="shared" si="25"/>
        <v>971.47857025804387</v>
      </c>
      <c r="N40" s="149">
        <f>((L40/G40)^(1/(COUNTA($H$3:$L$3)))-1)</f>
        <v>2.0906158754454784E-2</v>
      </c>
      <c r="P40" s="10"/>
      <c r="Q40" s="10"/>
      <c r="R40" s="10"/>
      <c r="S40" s="10"/>
    </row>
    <row r="41" spans="3:24" hidden="1" outlineLevel="1" x14ac:dyDescent="0.3">
      <c r="C41" s="104" t="s">
        <v>202</v>
      </c>
      <c r="D41" s="10">
        <v>119</v>
      </c>
      <c r="E41" s="10">
        <v>139</v>
      </c>
      <c r="F41" s="10">
        <v>143.80800000000002</v>
      </c>
      <c r="G41" s="10">
        <v>148.92000000000002</v>
      </c>
      <c r="H41" s="81">
        <f t="shared" ref="H41:L44" si="26">G41*(1+H80)</f>
        <v>154.14242518869287</v>
      </c>
      <c r="I41" s="81">
        <f t="shared" si="26"/>
        <v>159.54799384267912</v>
      </c>
      <c r="J41" s="81">
        <f t="shared" si="26"/>
        <v>165.14312855829434</v>
      </c>
      <c r="K41" s="81">
        <f t="shared" si="26"/>
        <v>170.93447716373603</v>
      </c>
      <c r="L41" s="81">
        <f t="shared" si="26"/>
        <v>176.92892061764377</v>
      </c>
      <c r="N41" s="149">
        <f>((L41/G41)^(1/(COUNTA($H$3:$L$3)))-1)</f>
        <v>3.5068662293129549E-2</v>
      </c>
      <c r="Q41" s="22"/>
      <c r="R41" s="22"/>
      <c r="S41" s="22"/>
      <c r="T41" s="22"/>
      <c r="U41" s="25"/>
      <c r="V41" s="25"/>
      <c r="W41" s="25"/>
      <c r="X41" s="25"/>
    </row>
    <row r="42" spans="3:24" hidden="1" outlineLevel="1" x14ac:dyDescent="0.3">
      <c r="C42" s="104" t="s">
        <v>207</v>
      </c>
      <c r="D42" s="10">
        <v>76</v>
      </c>
      <c r="E42" s="10">
        <v>82</v>
      </c>
      <c r="F42" s="10">
        <v>58.208000000000006</v>
      </c>
      <c r="G42" s="10">
        <v>61.320000000000007</v>
      </c>
      <c r="H42" s="81">
        <f t="shared" si="26"/>
        <v>64.38600000000001</v>
      </c>
      <c r="I42" s="81">
        <f t="shared" si="26"/>
        <v>67.605300000000014</v>
      </c>
      <c r="J42" s="81">
        <f t="shared" si="26"/>
        <v>72.337671000000014</v>
      </c>
      <c r="K42" s="81">
        <f t="shared" si="26"/>
        <v>78.124684680000016</v>
      </c>
      <c r="L42" s="81">
        <f t="shared" si="26"/>
        <v>85.155906301200019</v>
      </c>
      <c r="N42" s="149">
        <f>((L42/G42)^(1/(COUNTA($H$3:$L$3)))-1)</f>
        <v>6.7880179578280186E-2</v>
      </c>
    </row>
    <row r="43" spans="3:24" hidden="1" outlineLevel="1" x14ac:dyDescent="0.3">
      <c r="C43" s="104" t="s">
        <v>206</v>
      </c>
      <c r="D43" s="10">
        <v>2</v>
      </c>
      <c r="E43" s="10">
        <v>3</v>
      </c>
      <c r="F43" s="10">
        <v>6.8479999999999999</v>
      </c>
      <c r="G43" s="10">
        <v>8.76</v>
      </c>
      <c r="H43" s="81">
        <f t="shared" si="26"/>
        <v>10.95</v>
      </c>
      <c r="I43" s="81">
        <f t="shared" si="26"/>
        <v>13.139999999999999</v>
      </c>
      <c r="J43" s="81">
        <f t="shared" si="26"/>
        <v>15.767999999999997</v>
      </c>
      <c r="K43" s="81">
        <f t="shared" si="26"/>
        <v>18.921599999999994</v>
      </c>
      <c r="L43" s="81">
        <f t="shared" si="26"/>
        <v>22.705919999999992</v>
      </c>
      <c r="N43" s="149">
        <f>((L43/G43)^(1/(COUNTA($H$3:$L$3)))-1)</f>
        <v>0.20983738219659975</v>
      </c>
    </row>
    <row r="44" spans="3:24" hidden="1" outlineLevel="1" x14ac:dyDescent="0.3">
      <c r="C44" s="104" t="s">
        <v>212</v>
      </c>
      <c r="D44" s="10">
        <v>619</v>
      </c>
      <c r="E44" s="10">
        <v>647</v>
      </c>
      <c r="F44" s="10">
        <v>631.72799999999995</v>
      </c>
      <c r="G44" s="10">
        <v>639.48</v>
      </c>
      <c r="H44" s="81">
        <f t="shared" si="26"/>
        <v>645.87480000000005</v>
      </c>
      <c r="I44" s="81">
        <f t="shared" si="26"/>
        <v>658.79229600000008</v>
      </c>
      <c r="J44" s="81">
        <f t="shared" si="26"/>
        <v>671.96814192000011</v>
      </c>
      <c r="K44" s="81">
        <f t="shared" si="26"/>
        <v>678.68782333920012</v>
      </c>
      <c r="L44" s="81">
        <f t="shared" si="26"/>
        <v>678.68782333920012</v>
      </c>
      <c r="N44" s="149">
        <f>((L44/G44)^(1/(COUNTA($H$3:$L$3)))-1)</f>
        <v>1.1972284122736543E-2</v>
      </c>
    </row>
    <row r="45" spans="3:24" hidden="1" outlineLevel="1" x14ac:dyDescent="0.3">
      <c r="C45" s="104" t="s">
        <v>205</v>
      </c>
      <c r="D45" s="10">
        <v>0</v>
      </c>
      <c r="E45" s="10">
        <v>0</v>
      </c>
      <c r="F45" s="10">
        <v>0</v>
      </c>
      <c r="G45" s="10">
        <v>0</v>
      </c>
      <c r="H45" s="10">
        <v>0</v>
      </c>
      <c r="I45" s="10">
        <f t="shared" ref="I45:L45" si="27">H45</f>
        <v>0</v>
      </c>
      <c r="J45" s="10">
        <f t="shared" si="27"/>
        <v>0</v>
      </c>
      <c r="K45" s="10">
        <f t="shared" si="27"/>
        <v>0</v>
      </c>
      <c r="L45" s="10">
        <f t="shared" si="27"/>
        <v>0</v>
      </c>
      <c r="N45" s="149"/>
    </row>
    <row r="46" spans="3:24" hidden="1" outlineLevel="1" x14ac:dyDescent="0.3">
      <c r="C46" s="104" t="s">
        <v>208</v>
      </c>
      <c r="D46" s="10">
        <v>0</v>
      </c>
      <c r="E46" s="10">
        <v>1</v>
      </c>
      <c r="F46" s="10">
        <v>15</v>
      </c>
      <c r="G46" s="10">
        <v>17.52</v>
      </c>
      <c r="H46" s="10">
        <v>8</v>
      </c>
      <c r="I46" s="10">
        <f t="shared" ref="I46:L46" si="28">H46</f>
        <v>8</v>
      </c>
      <c r="J46" s="10">
        <f t="shared" si="28"/>
        <v>8</v>
      </c>
      <c r="K46" s="10">
        <f t="shared" si="28"/>
        <v>8</v>
      </c>
      <c r="L46" s="10">
        <f t="shared" si="28"/>
        <v>8</v>
      </c>
      <c r="N46" s="149">
        <f t="shared" ref="N46:N51" si="29">((L46/G46)^(1/(COUNTA($H$3:$L$3)))-1)</f>
        <v>-0.14510814956532581</v>
      </c>
    </row>
    <row r="47" spans="3:24" collapsed="1" x14ac:dyDescent="0.3">
      <c r="C47" s="46" t="s">
        <v>509</v>
      </c>
      <c r="D47" s="16">
        <f>SUM(D48:D53)</f>
        <v>1963</v>
      </c>
      <c r="E47" s="16">
        <f t="shared" ref="E47:H47" si="30">SUM(E48:E53)</f>
        <v>2070</v>
      </c>
      <c r="F47" s="16">
        <f t="shared" si="30"/>
        <v>2172.81</v>
      </c>
      <c r="G47" s="16">
        <f t="shared" si="30"/>
        <v>2219.0000000000005</v>
      </c>
      <c r="H47" s="16">
        <f t="shared" si="30"/>
        <v>2278.4061000000002</v>
      </c>
      <c r="I47" s="16">
        <f t="shared" ref="I47:L47" si="31">SUM(I48:I53)</f>
        <v>2374.5464940000006</v>
      </c>
      <c r="J47" s="16">
        <f t="shared" si="31"/>
        <v>2473.7233010300001</v>
      </c>
      <c r="K47" s="16">
        <f t="shared" si="31"/>
        <v>2575.7834617927001</v>
      </c>
      <c r="L47" s="16">
        <f t="shared" si="31"/>
        <v>2682.6839167329022</v>
      </c>
      <c r="N47" s="149">
        <f t="shared" si="29"/>
        <v>3.8681605752627579E-2</v>
      </c>
    </row>
    <row r="48" spans="3:24" hidden="1" outlineLevel="1" x14ac:dyDescent="0.3">
      <c r="C48" s="104" t="s">
        <v>202</v>
      </c>
      <c r="D48" s="10">
        <v>944</v>
      </c>
      <c r="E48" s="10">
        <v>978</v>
      </c>
      <c r="F48" s="10">
        <v>934.39</v>
      </c>
      <c r="G48" s="10">
        <v>976.36</v>
      </c>
      <c r="H48" s="81">
        <f t="shared" ref="H48:L51" si="32">G48*(1+H87)</f>
        <v>1015.4144</v>
      </c>
      <c r="I48" s="81">
        <f t="shared" si="32"/>
        <v>1056.030976</v>
      </c>
      <c r="J48" s="81">
        <f t="shared" si="32"/>
        <v>1098.27221504</v>
      </c>
      <c r="K48" s="81">
        <f t="shared" si="32"/>
        <v>1142.2031036416001</v>
      </c>
      <c r="L48" s="81">
        <f t="shared" si="32"/>
        <v>1187.8912277872641</v>
      </c>
      <c r="N48" s="149">
        <f t="shared" si="29"/>
        <v>4.0000000000000036E-2</v>
      </c>
    </row>
    <row r="49" spans="3:18" hidden="1" outlineLevel="1" x14ac:dyDescent="0.3">
      <c r="C49" s="104" t="s">
        <v>207</v>
      </c>
      <c r="D49" s="10">
        <v>741</v>
      </c>
      <c r="E49" s="10">
        <v>778</v>
      </c>
      <c r="F49" s="10">
        <v>738.82</v>
      </c>
      <c r="G49" s="10">
        <v>732.27</v>
      </c>
      <c r="H49" s="81">
        <f t="shared" si="32"/>
        <v>754.23810000000003</v>
      </c>
      <c r="I49" s="81">
        <f t="shared" si="32"/>
        <v>776.86524300000008</v>
      </c>
      <c r="J49" s="81">
        <f t="shared" si="32"/>
        <v>800.17120029000012</v>
      </c>
      <c r="K49" s="81">
        <f t="shared" si="32"/>
        <v>824.17633629870011</v>
      </c>
      <c r="L49" s="81">
        <f t="shared" si="32"/>
        <v>848.90162638766117</v>
      </c>
      <c r="N49" s="149">
        <f t="shared" si="29"/>
        <v>3.0000000000000027E-2</v>
      </c>
    </row>
    <row r="50" spans="3:18" hidden="1" outlineLevel="1" x14ac:dyDescent="0.3">
      <c r="C50" s="104" t="s">
        <v>206</v>
      </c>
      <c r="D50" s="10">
        <v>139</v>
      </c>
      <c r="E50" s="10">
        <v>187</v>
      </c>
      <c r="F50" s="10">
        <v>304.22000000000003</v>
      </c>
      <c r="G50" s="10">
        <v>310.66000000000003</v>
      </c>
      <c r="H50" s="81">
        <f t="shared" si="32"/>
        <v>338.61940000000004</v>
      </c>
      <c r="I50" s="81">
        <f t="shared" si="32"/>
        <v>367.40204900000003</v>
      </c>
      <c r="J50" s="81">
        <f t="shared" si="32"/>
        <v>396.79421292000006</v>
      </c>
      <c r="K50" s="81">
        <f t="shared" si="32"/>
        <v>426.55377888900006</v>
      </c>
      <c r="L50" s="81">
        <f t="shared" si="32"/>
        <v>458.54531230567505</v>
      </c>
      <c r="N50" s="149">
        <f t="shared" si="29"/>
        <v>8.098429410154151E-2</v>
      </c>
    </row>
    <row r="51" spans="3:18" hidden="1" outlineLevel="1" x14ac:dyDescent="0.3">
      <c r="C51" s="104" t="s">
        <v>212</v>
      </c>
      <c r="D51" s="10">
        <v>138</v>
      </c>
      <c r="E51" s="10">
        <v>126</v>
      </c>
      <c r="F51" s="10">
        <v>130.38</v>
      </c>
      <c r="G51" s="10">
        <v>133.13999999999999</v>
      </c>
      <c r="H51" s="81">
        <f t="shared" si="32"/>
        <v>137.13419999999999</v>
      </c>
      <c r="I51" s="81">
        <f t="shared" si="32"/>
        <v>141.24822599999999</v>
      </c>
      <c r="J51" s="81">
        <f t="shared" si="32"/>
        <v>145.48567277999999</v>
      </c>
      <c r="K51" s="81">
        <f t="shared" si="32"/>
        <v>149.85024296339998</v>
      </c>
      <c r="L51" s="81">
        <f t="shared" si="32"/>
        <v>154.34575025230197</v>
      </c>
      <c r="N51" s="149">
        <f t="shared" si="29"/>
        <v>3.0000000000000027E-2</v>
      </c>
    </row>
    <row r="52" spans="3:18" hidden="1" outlineLevel="1" x14ac:dyDescent="0.3">
      <c r="C52" s="104" t="s">
        <v>205</v>
      </c>
      <c r="D52" s="10">
        <v>0</v>
      </c>
      <c r="E52" s="10">
        <v>1</v>
      </c>
      <c r="F52" s="10">
        <v>0</v>
      </c>
      <c r="G52" s="10">
        <v>0</v>
      </c>
      <c r="H52" s="10">
        <v>0</v>
      </c>
      <c r="I52" s="10">
        <f t="shared" ref="I52:L52" si="33">H52</f>
        <v>0</v>
      </c>
      <c r="J52" s="10">
        <f t="shared" si="33"/>
        <v>0</v>
      </c>
      <c r="K52" s="10">
        <f t="shared" si="33"/>
        <v>0</v>
      </c>
      <c r="L52" s="10">
        <f t="shared" si="33"/>
        <v>0</v>
      </c>
      <c r="N52" s="149"/>
    </row>
    <row r="53" spans="3:18" hidden="1" outlineLevel="1" x14ac:dyDescent="0.3">
      <c r="C53" s="104" t="s">
        <v>208</v>
      </c>
      <c r="D53" s="10">
        <v>1</v>
      </c>
      <c r="E53" s="10">
        <v>0</v>
      </c>
      <c r="F53" s="10">
        <v>65</v>
      </c>
      <c r="G53" s="10">
        <v>66.569999999999993</v>
      </c>
      <c r="H53" s="10">
        <v>33</v>
      </c>
      <c r="I53" s="10">
        <f t="shared" ref="I53:L53" si="34">H53</f>
        <v>33</v>
      </c>
      <c r="J53" s="10">
        <f t="shared" si="34"/>
        <v>33</v>
      </c>
      <c r="K53" s="10">
        <f t="shared" si="34"/>
        <v>33</v>
      </c>
      <c r="L53" s="10">
        <f t="shared" si="34"/>
        <v>33</v>
      </c>
      <c r="N53" s="149">
        <f t="shared" ref="N53:N59" si="35">((L53/G53)^(1/(COUNTA($H$3:$L$3)))-1)</f>
        <v>-0.13094537217178748</v>
      </c>
    </row>
    <row r="54" spans="3:18" collapsed="1" x14ac:dyDescent="0.3">
      <c r="C54" s="46" t="s">
        <v>204</v>
      </c>
      <c r="D54" s="16">
        <f>SUM(D55:D60)</f>
        <v>2269</v>
      </c>
      <c r="E54" s="16">
        <f t="shared" ref="E54:H54" si="36">SUM(E55:E60)</f>
        <v>2459</v>
      </c>
      <c r="F54" s="16">
        <f t="shared" si="36"/>
        <v>2458</v>
      </c>
      <c r="G54" s="16">
        <f t="shared" si="36"/>
        <v>2623</v>
      </c>
      <c r="H54" s="16">
        <f t="shared" si="36"/>
        <v>2814.2953900000002</v>
      </c>
      <c r="I54" s="16">
        <f t="shared" ref="I54:L54" si="37">SUM(I55:I60)</f>
        <v>3066.9243627699998</v>
      </c>
      <c r="J54" s="16">
        <f t="shared" si="37"/>
        <v>3365.2164124804099</v>
      </c>
      <c r="K54" s="16">
        <f t="shared" si="37"/>
        <v>3736.3164662611625</v>
      </c>
      <c r="L54" s="16">
        <f t="shared" si="37"/>
        <v>4198.4182274506429</v>
      </c>
      <c r="N54" s="149">
        <f t="shared" si="35"/>
        <v>9.8645248162439803E-2</v>
      </c>
    </row>
    <row r="55" spans="3:18" hidden="1" outlineLevel="1" x14ac:dyDescent="0.3">
      <c r="C55" s="104" t="s">
        <v>202</v>
      </c>
      <c r="D55" s="10">
        <v>743</v>
      </c>
      <c r="E55" s="10">
        <v>848</v>
      </c>
      <c r="F55" s="10">
        <v>988.1160000000001</v>
      </c>
      <c r="G55" s="10">
        <v>996.74</v>
      </c>
      <c r="H55" s="81">
        <f t="shared" ref="H55:L59" si="38">G55*(1+H94)</f>
        <v>1066.5118</v>
      </c>
      <c r="I55" s="81">
        <f t="shared" si="38"/>
        <v>1173.1629800000001</v>
      </c>
      <c r="J55" s="81">
        <f t="shared" si="38"/>
        <v>1313.9425376000002</v>
      </c>
      <c r="K55" s="81">
        <f t="shared" si="38"/>
        <v>1497.8944928640003</v>
      </c>
      <c r="L55" s="81">
        <f t="shared" si="38"/>
        <v>1737.5576117222402</v>
      </c>
      <c r="N55" s="149">
        <f t="shared" si="35"/>
        <v>0.11756158568749009</v>
      </c>
    </row>
    <row r="56" spans="3:18" hidden="1" outlineLevel="1" x14ac:dyDescent="0.3">
      <c r="C56" s="104" t="s">
        <v>207</v>
      </c>
      <c r="D56" s="10">
        <v>492</v>
      </c>
      <c r="E56" s="10">
        <v>456</v>
      </c>
      <c r="F56" s="10">
        <v>398.19600000000003</v>
      </c>
      <c r="G56" s="10">
        <v>419.68</v>
      </c>
      <c r="H56" s="81">
        <f t="shared" si="38"/>
        <v>444.02144000000004</v>
      </c>
      <c r="I56" s="81">
        <f t="shared" si="38"/>
        <v>469.77468352000005</v>
      </c>
      <c r="J56" s="81">
        <f t="shared" si="38"/>
        <v>497.0216151641601</v>
      </c>
      <c r="K56" s="81">
        <f t="shared" si="38"/>
        <v>525.84886884368143</v>
      </c>
      <c r="L56" s="81">
        <f t="shared" si="38"/>
        <v>556.34810323661497</v>
      </c>
      <c r="N56" s="149">
        <f t="shared" si="35"/>
        <v>5.8000000000000052E-2</v>
      </c>
    </row>
    <row r="57" spans="3:18" hidden="1" outlineLevel="1" x14ac:dyDescent="0.3">
      <c r="C57" s="104" t="s">
        <v>206</v>
      </c>
      <c r="D57" s="10">
        <v>248</v>
      </c>
      <c r="E57" s="10">
        <v>238</v>
      </c>
      <c r="F57" s="10">
        <v>176.976</v>
      </c>
      <c r="G57" s="10">
        <v>314.76</v>
      </c>
      <c r="H57" s="81">
        <f t="shared" si="38"/>
        <v>409.18799999999999</v>
      </c>
      <c r="I57" s="81">
        <f t="shared" si="38"/>
        <v>491.02559999999994</v>
      </c>
      <c r="J57" s="81">
        <f t="shared" si="38"/>
        <v>569.58969599999989</v>
      </c>
      <c r="K57" s="81">
        <f t="shared" si="38"/>
        <v>660.72404735999987</v>
      </c>
      <c r="L57" s="81">
        <f t="shared" si="38"/>
        <v>766.43989493759977</v>
      </c>
      <c r="N57" s="149">
        <f t="shared" si="35"/>
        <v>0.194812378148431</v>
      </c>
    </row>
    <row r="58" spans="3:18" hidden="1" outlineLevel="1" x14ac:dyDescent="0.3">
      <c r="C58" s="104" t="s">
        <v>212</v>
      </c>
      <c r="D58" s="10">
        <v>436</v>
      </c>
      <c r="E58" s="10">
        <v>453</v>
      </c>
      <c r="F58" s="10">
        <v>471.93600000000004</v>
      </c>
      <c r="G58" s="10">
        <v>498.37</v>
      </c>
      <c r="H58" s="81">
        <f t="shared" si="38"/>
        <v>520.79665</v>
      </c>
      <c r="I58" s="81">
        <f t="shared" si="38"/>
        <v>544.23249924999993</v>
      </c>
      <c r="J58" s="81">
        <f t="shared" si="38"/>
        <v>568.72296171624987</v>
      </c>
      <c r="K58" s="81">
        <f t="shared" si="38"/>
        <v>594.31549499348102</v>
      </c>
      <c r="L58" s="81">
        <f t="shared" si="38"/>
        <v>621.05969226818763</v>
      </c>
      <c r="N58" s="149">
        <f t="shared" si="35"/>
        <v>4.4999999999999929E-2</v>
      </c>
    </row>
    <row r="59" spans="3:18" hidden="1" outlineLevel="1" x14ac:dyDescent="0.3">
      <c r="C59" s="104" t="s">
        <v>205</v>
      </c>
      <c r="D59" s="10">
        <v>350</v>
      </c>
      <c r="E59" s="10">
        <v>464</v>
      </c>
      <c r="F59" s="10">
        <v>422.77599999999995</v>
      </c>
      <c r="G59" s="10">
        <v>393.45</v>
      </c>
      <c r="H59" s="81">
        <f t="shared" si="38"/>
        <v>373.77749999999997</v>
      </c>
      <c r="I59" s="81">
        <f t="shared" si="38"/>
        <v>388.72859999999997</v>
      </c>
      <c r="J59" s="81">
        <f t="shared" si="38"/>
        <v>415.93960199999998</v>
      </c>
      <c r="K59" s="81">
        <f t="shared" si="38"/>
        <v>457.53356220000001</v>
      </c>
      <c r="L59" s="81">
        <f t="shared" si="38"/>
        <v>517.01292528599993</v>
      </c>
      <c r="N59" s="149">
        <f t="shared" si="35"/>
        <v>5.6142137312012563E-2</v>
      </c>
    </row>
    <row r="60" spans="3:18" hidden="1" outlineLevel="1" x14ac:dyDescent="0.3">
      <c r="C60" s="104" t="s">
        <v>208</v>
      </c>
      <c r="D60" s="10">
        <v>0</v>
      </c>
      <c r="E60" s="10">
        <v>0</v>
      </c>
      <c r="F60" s="10">
        <v>0</v>
      </c>
      <c r="G60" s="10">
        <v>0</v>
      </c>
      <c r="H60" s="10">
        <v>0</v>
      </c>
      <c r="I60" s="10">
        <f t="shared" ref="I60:L60" si="39">H60</f>
        <v>0</v>
      </c>
      <c r="J60" s="10">
        <f t="shared" si="39"/>
        <v>0</v>
      </c>
      <c r="K60" s="10">
        <f t="shared" si="39"/>
        <v>0</v>
      </c>
      <c r="L60" s="10">
        <f t="shared" si="39"/>
        <v>0</v>
      </c>
      <c r="N60" s="149"/>
      <c r="Q60" s="104"/>
      <c r="R60" s="10"/>
    </row>
    <row r="61" spans="3:18" collapsed="1" x14ac:dyDescent="0.3">
      <c r="C61" s="110" t="s">
        <v>272</v>
      </c>
      <c r="D61" s="111">
        <f>D54+D47+D40</f>
        <v>5048</v>
      </c>
      <c r="E61" s="111">
        <f t="shared" ref="E61:H61" si="40">E54+E47+E40</f>
        <v>5401</v>
      </c>
      <c r="F61" s="111">
        <f t="shared" si="40"/>
        <v>5486.4019999999991</v>
      </c>
      <c r="G61" s="111">
        <f>G54+G47+G40</f>
        <v>5718</v>
      </c>
      <c r="H61" s="111">
        <f t="shared" si="40"/>
        <v>5976.0547151886931</v>
      </c>
      <c r="I61" s="111">
        <f t="shared" ref="I61:L61" si="41">I54+I47+I40</f>
        <v>6348.5564466126789</v>
      </c>
      <c r="J61" s="111">
        <f t="shared" si="41"/>
        <v>6772.1566549887048</v>
      </c>
      <c r="K61" s="111">
        <f t="shared" si="41"/>
        <v>7266.7685132367988</v>
      </c>
      <c r="L61" s="111">
        <f t="shared" si="41"/>
        <v>7852.5807144415894</v>
      </c>
      <c r="N61" s="149">
        <f>((L61/G61)^(1/(COUNTA($H$3:$L$3)))-1)</f>
        <v>6.5500484699470674E-2</v>
      </c>
      <c r="Q61" s="104"/>
      <c r="R61" s="10"/>
    </row>
    <row r="62" spans="3:18" x14ac:dyDescent="0.3">
      <c r="C62" s="23"/>
      <c r="D62" s="81"/>
      <c r="E62" s="81"/>
      <c r="F62" s="81"/>
      <c r="G62" s="232"/>
      <c r="H62" s="81"/>
      <c r="I62" s="81"/>
      <c r="J62" s="81"/>
      <c r="K62" s="81"/>
      <c r="L62" s="117"/>
    </row>
    <row r="63" spans="3:18" x14ac:dyDescent="0.3">
      <c r="C63" s="114" t="s">
        <v>475</v>
      </c>
      <c r="D63" s="81"/>
      <c r="E63" s="81"/>
      <c r="F63" s="81"/>
      <c r="G63" s="81"/>
      <c r="H63" s="81"/>
      <c r="I63" s="81"/>
      <c r="J63" s="81"/>
      <c r="K63" s="81"/>
      <c r="L63" s="117"/>
    </row>
    <row r="64" spans="3:18" x14ac:dyDescent="0.3">
      <c r="C64" s="28" t="s">
        <v>203</v>
      </c>
      <c r="D64" s="229">
        <f>D40/D$61</f>
        <v>0.16164817749603805</v>
      </c>
      <c r="E64" s="229">
        <f t="shared" ref="E64:L64" si="42">E40/E$61</f>
        <v>0.16145158304017773</v>
      </c>
      <c r="F64" s="229">
        <f t="shared" si="42"/>
        <v>0.15594774134305145</v>
      </c>
      <c r="G64" s="229">
        <f t="shared" si="42"/>
        <v>0.15320041972717732</v>
      </c>
      <c r="H64" s="229">
        <f t="shared" si="42"/>
        <v>0.14781545137857749</v>
      </c>
      <c r="I64" s="229">
        <f t="shared" si="42"/>
        <v>0.14288060561021895</v>
      </c>
      <c r="J64" s="229">
        <f t="shared" si="42"/>
        <v>0.13780203102520389</v>
      </c>
      <c r="K64" s="229">
        <f t="shared" si="42"/>
        <v>0.13137456951380208</v>
      </c>
      <c r="L64" s="229">
        <f t="shared" si="42"/>
        <v>0.12371456029371453</v>
      </c>
    </row>
    <row r="65" spans="3:19" x14ac:dyDescent="0.3">
      <c r="C65" s="28" t="s">
        <v>509</v>
      </c>
      <c r="D65" s="229">
        <f>D47/D$61</f>
        <v>0.38886687797147385</v>
      </c>
      <c r="E65" s="229">
        <f t="shared" ref="E65:L65" si="43">E47/E$61</f>
        <v>0.38326235882244031</v>
      </c>
      <c r="F65" s="229">
        <f t="shared" si="43"/>
        <v>0.3960355074236267</v>
      </c>
      <c r="G65" s="229">
        <f t="shared" si="43"/>
        <v>0.3880727527107381</v>
      </c>
      <c r="H65" s="229">
        <f t="shared" si="43"/>
        <v>0.38125589683930122</v>
      </c>
      <c r="I65" s="229">
        <f t="shared" si="43"/>
        <v>0.37402935832238809</v>
      </c>
      <c r="J65" s="229">
        <f t="shared" si="43"/>
        <v>0.3652785112712556</v>
      </c>
      <c r="K65" s="229">
        <f t="shared" si="43"/>
        <v>0.35446064603554878</v>
      </c>
      <c r="L65" s="229">
        <f t="shared" si="43"/>
        <v>0.34163086178779539</v>
      </c>
    </row>
    <row r="66" spans="3:19" x14ac:dyDescent="0.3">
      <c r="C66" s="28" t="s">
        <v>204</v>
      </c>
      <c r="D66" s="118">
        <f>D54/D$61</f>
        <v>0.44948494453248811</v>
      </c>
      <c r="E66" s="118">
        <f t="shared" ref="E66:L66" si="44">E54/E$61</f>
        <v>0.45528605813738199</v>
      </c>
      <c r="F66" s="118">
        <f t="shared" si="44"/>
        <v>0.44801675123332202</v>
      </c>
      <c r="G66" s="118">
        <f t="shared" si="44"/>
        <v>0.45872682756208466</v>
      </c>
      <c r="H66" s="118">
        <f t="shared" si="44"/>
        <v>0.47092865178212134</v>
      </c>
      <c r="I66" s="118">
        <f t="shared" si="44"/>
        <v>0.48309003606739304</v>
      </c>
      <c r="J66" s="118">
        <f t="shared" si="44"/>
        <v>0.49691945770354046</v>
      </c>
      <c r="K66" s="118">
        <f t="shared" si="44"/>
        <v>0.51416478445064906</v>
      </c>
      <c r="L66" s="118">
        <f t="shared" si="44"/>
        <v>0.53465457791849003</v>
      </c>
    </row>
    <row r="67" spans="3:19" x14ac:dyDescent="0.3">
      <c r="C67" s="110" t="str">
        <f>"Total volumes, active scenario ("&amp;'Scenario Analysis'!D34&amp;")"</f>
        <v>Total volumes, active scenario ()</v>
      </c>
      <c r="D67" s="230">
        <f>D61/D$61</f>
        <v>1</v>
      </c>
      <c r="E67" s="230">
        <f t="shared" ref="E67:L67" si="45">E61/E$61</f>
        <v>1</v>
      </c>
      <c r="F67" s="230">
        <f t="shared" si="45"/>
        <v>1</v>
      </c>
      <c r="G67" s="230">
        <f t="shared" si="45"/>
        <v>1</v>
      </c>
      <c r="H67" s="230">
        <f t="shared" si="45"/>
        <v>1</v>
      </c>
      <c r="I67" s="230">
        <f t="shared" si="45"/>
        <v>1</v>
      </c>
      <c r="J67" s="230">
        <f t="shared" si="45"/>
        <v>1</v>
      </c>
      <c r="K67" s="230">
        <f t="shared" si="45"/>
        <v>1</v>
      </c>
      <c r="L67" s="230">
        <f t="shared" si="45"/>
        <v>1</v>
      </c>
    </row>
    <row r="68" spans="3:19" x14ac:dyDescent="0.3">
      <c r="C68" s="23"/>
      <c r="D68" s="10"/>
      <c r="E68" s="10"/>
      <c r="F68" s="10"/>
      <c r="G68" s="12"/>
      <c r="H68" s="12"/>
      <c r="I68" s="12"/>
      <c r="J68" s="12"/>
      <c r="K68" s="12"/>
    </row>
    <row r="69" spans="3:19" x14ac:dyDescent="0.3">
      <c r="C69" s="114" t="s">
        <v>213</v>
      </c>
      <c r="D69" s="34" t="s">
        <v>82</v>
      </c>
      <c r="E69" s="33"/>
      <c r="F69" s="33"/>
      <c r="G69" s="33"/>
      <c r="H69" s="34" t="s">
        <v>83</v>
      </c>
      <c r="I69" s="33"/>
      <c r="J69" s="33"/>
      <c r="K69" s="33"/>
      <c r="L69" s="33"/>
    </row>
    <row r="70" spans="3:19" x14ac:dyDescent="0.3">
      <c r="C70" s="28" t="s">
        <v>202</v>
      </c>
      <c r="D70" s="81">
        <f t="shared" ref="D70:L70" si="46">D41+D48+D55</f>
        <v>1806</v>
      </c>
      <c r="E70" s="81">
        <f t="shared" si="46"/>
        <v>1965</v>
      </c>
      <c r="F70" s="81">
        <f t="shared" si="46"/>
        <v>2066.3140000000003</v>
      </c>
      <c r="G70" s="81">
        <f t="shared" si="46"/>
        <v>2122.02</v>
      </c>
      <c r="H70" s="81">
        <f t="shared" si="46"/>
        <v>2236.0686251886927</v>
      </c>
      <c r="I70" s="81">
        <f t="shared" si="46"/>
        <v>2388.7419498426789</v>
      </c>
      <c r="J70" s="81">
        <f t="shared" si="46"/>
        <v>2577.3578811982943</v>
      </c>
      <c r="K70" s="81">
        <f t="shared" si="46"/>
        <v>2811.0320736693366</v>
      </c>
      <c r="L70" s="81">
        <f t="shared" si="46"/>
        <v>3102.3777601271481</v>
      </c>
      <c r="N70" s="149">
        <f t="shared" ref="N70:N76" si="47">((L70/G70)^(1/(COUNTA($H$3:$L$3)))-1)</f>
        <v>7.8919496715683879E-2</v>
      </c>
    </row>
    <row r="71" spans="3:19" x14ac:dyDescent="0.3">
      <c r="C71" s="28" t="s">
        <v>207</v>
      </c>
      <c r="D71" s="81">
        <f t="shared" ref="D71:L71" si="48">D42+D49+D56</f>
        <v>1309</v>
      </c>
      <c r="E71" s="81">
        <f t="shared" si="48"/>
        <v>1316</v>
      </c>
      <c r="F71" s="81">
        <f t="shared" si="48"/>
        <v>1195.2240000000002</v>
      </c>
      <c r="G71" s="81">
        <f t="shared" si="48"/>
        <v>1213.27</v>
      </c>
      <c r="H71" s="81">
        <f t="shared" si="48"/>
        <v>1262.64554</v>
      </c>
      <c r="I71" s="81">
        <f t="shared" si="48"/>
        <v>1314.2452265200002</v>
      </c>
      <c r="J71" s="81">
        <f t="shared" si="48"/>
        <v>1369.5304864541602</v>
      </c>
      <c r="K71" s="81">
        <f t="shared" si="48"/>
        <v>1428.1498898223815</v>
      </c>
      <c r="L71" s="81">
        <f t="shared" si="48"/>
        <v>1490.4056359254762</v>
      </c>
      <c r="N71" s="149">
        <f t="shared" si="47"/>
        <v>4.2004045325144679E-2</v>
      </c>
    </row>
    <row r="72" spans="3:19" x14ac:dyDescent="0.3">
      <c r="C72" s="28" t="s">
        <v>206</v>
      </c>
      <c r="D72" s="81">
        <f t="shared" ref="D72:L72" si="49">D43+D50+D57</f>
        <v>389</v>
      </c>
      <c r="E72" s="81">
        <f t="shared" si="49"/>
        <v>428</v>
      </c>
      <c r="F72" s="81">
        <f t="shared" si="49"/>
        <v>488.04400000000004</v>
      </c>
      <c r="G72" s="81">
        <f t="shared" si="49"/>
        <v>634.18000000000006</v>
      </c>
      <c r="H72" s="81">
        <f t="shared" si="49"/>
        <v>758.75739999999996</v>
      </c>
      <c r="I72" s="81">
        <f t="shared" si="49"/>
        <v>871.56764899999996</v>
      </c>
      <c r="J72" s="81">
        <f t="shared" si="49"/>
        <v>982.15190891999987</v>
      </c>
      <c r="K72" s="81">
        <f t="shared" si="49"/>
        <v>1106.199426249</v>
      </c>
      <c r="L72" s="81">
        <f t="shared" si="49"/>
        <v>1247.6911272432749</v>
      </c>
      <c r="N72" s="149">
        <f t="shared" si="47"/>
        <v>0.14492993117981068</v>
      </c>
      <c r="P72" s="27"/>
      <c r="Q72" s="27"/>
      <c r="R72" s="27"/>
      <c r="S72" s="27"/>
    </row>
    <row r="73" spans="3:19" x14ac:dyDescent="0.3">
      <c r="C73" s="28" t="s">
        <v>212</v>
      </c>
      <c r="D73" s="81">
        <f t="shared" ref="D73:L73" si="50">D44+D51+D58</f>
        <v>1193</v>
      </c>
      <c r="E73" s="81">
        <f t="shared" si="50"/>
        <v>1226</v>
      </c>
      <c r="F73" s="81">
        <f t="shared" si="50"/>
        <v>1234.0439999999999</v>
      </c>
      <c r="G73" s="81">
        <f t="shared" si="50"/>
        <v>1270.99</v>
      </c>
      <c r="H73" s="81">
        <f t="shared" si="50"/>
        <v>1303.80565</v>
      </c>
      <c r="I73" s="81">
        <f t="shared" si="50"/>
        <v>1344.2730212500001</v>
      </c>
      <c r="J73" s="81">
        <f t="shared" si="50"/>
        <v>1386.17677641625</v>
      </c>
      <c r="K73" s="81">
        <f t="shared" si="50"/>
        <v>1422.8535612960811</v>
      </c>
      <c r="L73" s="81">
        <f t="shared" si="50"/>
        <v>1454.0932658596898</v>
      </c>
      <c r="N73" s="149">
        <f t="shared" si="47"/>
        <v>2.7282821803696011E-2</v>
      </c>
      <c r="S73" s="78"/>
    </row>
    <row r="74" spans="3:19" x14ac:dyDescent="0.3">
      <c r="C74" s="28" t="s">
        <v>205</v>
      </c>
      <c r="D74" s="81">
        <f t="shared" ref="D74:L74" si="51">D45+D52+D59</f>
        <v>350</v>
      </c>
      <c r="E74" s="81">
        <f t="shared" si="51"/>
        <v>465</v>
      </c>
      <c r="F74" s="81">
        <f t="shared" si="51"/>
        <v>422.77599999999995</v>
      </c>
      <c r="G74" s="81">
        <f t="shared" si="51"/>
        <v>393.45</v>
      </c>
      <c r="H74" s="81">
        <f t="shared" si="51"/>
        <v>373.77749999999997</v>
      </c>
      <c r="I74" s="81">
        <f t="shared" si="51"/>
        <v>388.72859999999997</v>
      </c>
      <c r="J74" s="81">
        <f t="shared" si="51"/>
        <v>415.93960199999998</v>
      </c>
      <c r="K74" s="81">
        <f t="shared" si="51"/>
        <v>457.53356220000001</v>
      </c>
      <c r="L74" s="81">
        <f t="shared" si="51"/>
        <v>517.01292528599993</v>
      </c>
      <c r="N74" s="149">
        <f t="shared" si="47"/>
        <v>5.6142137312012563E-2</v>
      </c>
      <c r="S74" s="78"/>
    </row>
    <row r="75" spans="3:19" x14ac:dyDescent="0.3">
      <c r="C75" s="106" t="s">
        <v>208</v>
      </c>
      <c r="D75" s="109">
        <f t="shared" ref="D75:L75" si="52">D46+D53+D60</f>
        <v>1</v>
      </c>
      <c r="E75" s="109">
        <f t="shared" si="52"/>
        <v>1</v>
      </c>
      <c r="F75" s="109">
        <f t="shared" si="52"/>
        <v>80</v>
      </c>
      <c r="G75" s="109">
        <f t="shared" si="52"/>
        <v>84.089999999999989</v>
      </c>
      <c r="H75" s="109">
        <f t="shared" si="52"/>
        <v>41</v>
      </c>
      <c r="I75" s="109">
        <f t="shared" si="52"/>
        <v>41</v>
      </c>
      <c r="J75" s="109">
        <f t="shared" si="52"/>
        <v>41</v>
      </c>
      <c r="K75" s="109">
        <f t="shared" si="52"/>
        <v>41</v>
      </c>
      <c r="L75" s="109">
        <f t="shared" si="52"/>
        <v>41</v>
      </c>
      <c r="N75" s="149">
        <f t="shared" si="47"/>
        <v>-0.13382050030899106</v>
      </c>
    </row>
    <row r="76" spans="3:19" x14ac:dyDescent="0.3">
      <c r="C76" s="110" t="s">
        <v>272</v>
      </c>
      <c r="D76" s="81">
        <f>SUM(D70:D75)</f>
        <v>5048</v>
      </c>
      <c r="E76" s="81">
        <f t="shared" ref="E76:F76" si="53">SUM(E70:E75)</f>
        <v>5401</v>
      </c>
      <c r="F76" s="81">
        <f t="shared" si="53"/>
        <v>5486.402</v>
      </c>
      <c r="G76" s="81">
        <f t="shared" ref="G76:K76" si="54">SUM(G70:G75)</f>
        <v>5718</v>
      </c>
      <c r="H76" s="81">
        <f t="shared" si="54"/>
        <v>5976.0547151886931</v>
      </c>
      <c r="I76" s="81">
        <f t="shared" si="54"/>
        <v>6348.5564466126789</v>
      </c>
      <c r="J76" s="81">
        <f t="shared" si="54"/>
        <v>6772.1566549887048</v>
      </c>
      <c r="K76" s="81">
        <f t="shared" si="54"/>
        <v>7266.7685132367997</v>
      </c>
      <c r="L76" s="81">
        <f t="shared" ref="L76" si="55">SUM(L70:L75)</f>
        <v>7852.5807144415894</v>
      </c>
      <c r="N76" s="149">
        <f t="shared" si="47"/>
        <v>6.5500484699470674E-2</v>
      </c>
      <c r="O76" s="184"/>
    </row>
    <row r="77" spans="3:19" x14ac:dyDescent="0.3">
      <c r="C77" s="23"/>
      <c r="D77" s="81"/>
      <c r="E77" s="81"/>
      <c r="F77" s="81"/>
      <c r="G77" s="81"/>
      <c r="H77" s="81"/>
      <c r="I77" s="81"/>
      <c r="J77" s="81"/>
      <c r="K77" s="81"/>
      <c r="L77" s="81"/>
      <c r="S77" s="184"/>
    </row>
    <row r="78" spans="3:19" x14ac:dyDescent="0.3">
      <c r="C78" s="114" t="s">
        <v>440</v>
      </c>
      <c r="D78" s="34" t="s">
        <v>82</v>
      </c>
      <c r="E78" s="33"/>
      <c r="F78" s="33"/>
      <c r="G78" s="33"/>
      <c r="H78" s="34" t="s">
        <v>83</v>
      </c>
      <c r="I78" s="33"/>
      <c r="J78" s="33"/>
      <c r="K78" s="33"/>
      <c r="L78" s="33"/>
    </row>
    <row r="79" spans="3:19" x14ac:dyDescent="0.3">
      <c r="C79" s="46" t="s">
        <v>203</v>
      </c>
      <c r="D79" s="207"/>
      <c r="E79" s="208">
        <f t="shared" ref="E79:L79" si="56">IFERROR(E40/D40-1,"nm")</f>
        <v>6.8627450980392135E-2</v>
      </c>
      <c r="F79" s="208">
        <f t="shared" si="56"/>
        <v>-1.8816513761467868E-2</v>
      </c>
      <c r="G79" s="208">
        <f t="shared" si="56"/>
        <v>2.3852490439368212E-2</v>
      </c>
      <c r="H79" s="208">
        <f t="shared" si="56"/>
        <v>8.3940926811563177E-3</v>
      </c>
      <c r="I79" s="208">
        <f t="shared" si="56"/>
        <v>2.686622290750873E-2</v>
      </c>
      <c r="J79" s="208">
        <f t="shared" si="56"/>
        <v>2.8808033032635239E-2</v>
      </c>
      <c r="K79" s="208">
        <f t="shared" si="56"/>
        <v>2.2986770547329005E-2</v>
      </c>
      <c r="L79" s="208">
        <f t="shared" si="56"/>
        <v>1.7608189204096014E-2</v>
      </c>
    </row>
    <row r="80" spans="3:19" hidden="1" outlineLevel="1" x14ac:dyDescent="0.3">
      <c r="C80" s="104" t="s">
        <v>202</v>
      </c>
      <c r="D80" s="200"/>
      <c r="E80" s="203">
        <f t="shared" ref="E80:G99" si="57">IFERROR(E41/D41-1,"nm")</f>
        <v>0.16806722689075637</v>
      </c>
      <c r="F80" s="203">
        <f t="shared" si="57"/>
        <v>3.458992805755412E-2</v>
      </c>
      <c r="G80" s="203">
        <f t="shared" si="57"/>
        <v>3.5547396528704978E-2</v>
      </c>
      <c r="H80" s="206">
        <v>3.5068662293129549E-2</v>
      </c>
      <c r="I80" s="206">
        <v>3.5068662293129549E-2</v>
      </c>
      <c r="J80" s="206">
        <v>3.5068662293129549E-2</v>
      </c>
      <c r="K80" s="206">
        <v>3.5068662293129549E-2</v>
      </c>
      <c r="L80" s="206">
        <v>3.5068662293129549E-2</v>
      </c>
      <c r="O80" s="206"/>
      <c r="P80" s="206"/>
    </row>
    <row r="81" spans="3:12" hidden="1" outlineLevel="1" x14ac:dyDescent="0.3">
      <c r="C81" s="104" t="s">
        <v>207</v>
      </c>
      <c r="D81" s="200"/>
      <c r="E81" s="203">
        <f t="shared" si="57"/>
        <v>7.8947368421052655E-2</v>
      </c>
      <c r="F81" s="203">
        <f t="shared" si="57"/>
        <v>-0.29014634146341456</v>
      </c>
      <c r="G81" s="203">
        <f t="shared" si="57"/>
        <v>5.3463441451346849E-2</v>
      </c>
      <c r="H81" s="206">
        <v>0.05</v>
      </c>
      <c r="I81" s="206">
        <v>0.05</v>
      </c>
      <c r="J81" s="206">
        <v>7.0000000000000007E-2</v>
      </c>
      <c r="K81" s="206">
        <v>0.08</v>
      </c>
      <c r="L81" s="206">
        <v>0.09</v>
      </c>
    </row>
    <row r="82" spans="3:12" hidden="1" outlineLevel="1" x14ac:dyDescent="0.3">
      <c r="C82" s="104" t="s">
        <v>206</v>
      </c>
      <c r="D82" s="200"/>
      <c r="E82" s="203">
        <f t="shared" si="57"/>
        <v>0.5</v>
      </c>
      <c r="F82" s="203">
        <f t="shared" si="57"/>
        <v>1.2826666666666666</v>
      </c>
      <c r="G82" s="203">
        <f t="shared" si="57"/>
        <v>0.27920560747663559</v>
      </c>
      <c r="H82" s="206">
        <v>0.25</v>
      </c>
      <c r="I82" s="206">
        <v>0.2</v>
      </c>
      <c r="J82" s="206">
        <v>0.2</v>
      </c>
      <c r="K82" s="206">
        <v>0.2</v>
      </c>
      <c r="L82" s="206">
        <v>0.2</v>
      </c>
    </row>
    <row r="83" spans="3:12" hidden="1" outlineLevel="1" x14ac:dyDescent="0.3">
      <c r="C83" s="104" t="s">
        <v>212</v>
      </c>
      <c r="D83" s="200"/>
      <c r="E83" s="203">
        <f t="shared" si="57"/>
        <v>4.5234248788368348E-2</v>
      </c>
      <c r="F83" s="203">
        <f t="shared" si="57"/>
        <v>-2.3604327666151503E-2</v>
      </c>
      <c r="G83" s="203">
        <f t="shared" si="57"/>
        <v>1.2271104019451418E-2</v>
      </c>
      <c r="H83" s="206">
        <v>0.01</v>
      </c>
      <c r="I83" s="206">
        <v>0.02</v>
      </c>
      <c r="J83" s="206">
        <v>0.02</v>
      </c>
      <c r="K83" s="206">
        <v>0.01</v>
      </c>
      <c r="L83" s="206">
        <v>0</v>
      </c>
    </row>
    <row r="84" spans="3:12" hidden="1" outlineLevel="1" x14ac:dyDescent="0.3">
      <c r="C84" s="104" t="s">
        <v>205</v>
      </c>
      <c r="D84" s="200"/>
      <c r="E84" s="203" t="str">
        <f t="shared" si="57"/>
        <v>nm</v>
      </c>
      <c r="F84" s="203" t="str">
        <f t="shared" si="57"/>
        <v>nm</v>
      </c>
      <c r="G84" s="203" t="str">
        <f t="shared" si="57"/>
        <v>nm</v>
      </c>
      <c r="H84" s="203" t="str">
        <f t="shared" ref="H84:L86" si="58">IFERROR(H45/G45-1,"nm")</f>
        <v>nm</v>
      </c>
      <c r="I84" s="203" t="str">
        <f t="shared" si="58"/>
        <v>nm</v>
      </c>
      <c r="J84" s="203" t="str">
        <f t="shared" si="58"/>
        <v>nm</v>
      </c>
      <c r="K84" s="203" t="str">
        <f t="shared" si="58"/>
        <v>nm</v>
      </c>
      <c r="L84" s="203" t="str">
        <f t="shared" si="58"/>
        <v>nm</v>
      </c>
    </row>
    <row r="85" spans="3:12" hidden="1" outlineLevel="1" x14ac:dyDescent="0.3">
      <c r="C85" s="104" t="s">
        <v>208</v>
      </c>
      <c r="D85" s="200"/>
      <c r="E85" s="203" t="str">
        <f t="shared" si="57"/>
        <v>nm</v>
      </c>
      <c r="F85" s="203">
        <f t="shared" si="57"/>
        <v>14</v>
      </c>
      <c r="G85" s="203">
        <f t="shared" si="57"/>
        <v>0.16799999999999993</v>
      </c>
      <c r="H85" s="203">
        <f t="shared" si="58"/>
        <v>-0.54337899543378998</v>
      </c>
      <c r="I85" s="203">
        <f t="shared" si="58"/>
        <v>0</v>
      </c>
      <c r="J85" s="203">
        <f t="shared" si="58"/>
        <v>0</v>
      </c>
      <c r="K85" s="203">
        <f t="shared" si="58"/>
        <v>0</v>
      </c>
      <c r="L85" s="203">
        <f t="shared" si="58"/>
        <v>0</v>
      </c>
    </row>
    <row r="86" spans="3:12" collapsed="1" x14ac:dyDescent="0.3">
      <c r="C86" s="46" t="s">
        <v>509</v>
      </c>
      <c r="D86" s="207"/>
      <c r="E86" s="208">
        <f t="shared" si="57"/>
        <v>5.4508405501783042E-2</v>
      </c>
      <c r="F86" s="208">
        <f t="shared" si="57"/>
        <v>4.9666666666666748E-2</v>
      </c>
      <c r="G86" s="208">
        <f t="shared" si="57"/>
        <v>2.125818640378152E-2</v>
      </c>
      <c r="H86" s="208">
        <f t="shared" si="58"/>
        <v>2.6771563767462592E-2</v>
      </c>
      <c r="I86" s="208">
        <f t="shared" si="58"/>
        <v>4.21963380452679E-2</v>
      </c>
      <c r="J86" s="208">
        <f t="shared" si="58"/>
        <v>4.1766630925357484E-2</v>
      </c>
      <c r="K86" s="208">
        <f t="shared" si="58"/>
        <v>4.1257710884723631E-2</v>
      </c>
      <c r="L86" s="208">
        <f t="shared" si="58"/>
        <v>4.150211247408242E-2</v>
      </c>
    </row>
    <row r="87" spans="3:12" hidden="1" outlineLevel="1" x14ac:dyDescent="0.3">
      <c r="C87" s="104" t="s">
        <v>202</v>
      </c>
      <c r="D87" s="200"/>
      <c r="E87" s="203">
        <f t="shared" si="57"/>
        <v>3.6016949152542388E-2</v>
      </c>
      <c r="F87" s="203">
        <f t="shared" si="57"/>
        <v>-4.459100204498978E-2</v>
      </c>
      <c r="G87" s="203">
        <f t="shared" si="57"/>
        <v>4.4917004676848116E-2</v>
      </c>
      <c r="H87" s="206">
        <v>0.04</v>
      </c>
      <c r="I87" s="206">
        <v>0.04</v>
      </c>
      <c r="J87" s="206">
        <v>0.04</v>
      </c>
      <c r="K87" s="206">
        <v>0.04</v>
      </c>
      <c r="L87" s="206">
        <v>0.04</v>
      </c>
    </row>
    <row r="88" spans="3:12" hidden="1" outlineLevel="1" x14ac:dyDescent="0.3">
      <c r="C88" s="104" t="s">
        <v>207</v>
      </c>
      <c r="D88" s="200"/>
      <c r="E88" s="203">
        <f t="shared" si="57"/>
        <v>4.9932523616734059E-2</v>
      </c>
      <c r="F88" s="203">
        <f t="shared" si="57"/>
        <v>-5.0359897172236434E-2</v>
      </c>
      <c r="G88" s="203">
        <f t="shared" si="57"/>
        <v>-8.8654882109310273E-3</v>
      </c>
      <c r="H88" s="206">
        <v>0.03</v>
      </c>
      <c r="I88" s="206">
        <v>0.03</v>
      </c>
      <c r="J88" s="206">
        <v>0.03</v>
      </c>
      <c r="K88" s="206">
        <v>0.03</v>
      </c>
      <c r="L88" s="206">
        <v>0.03</v>
      </c>
    </row>
    <row r="89" spans="3:12" hidden="1" outlineLevel="1" x14ac:dyDescent="0.3">
      <c r="C89" s="104" t="s">
        <v>206</v>
      </c>
      <c r="D89" s="200"/>
      <c r="E89" s="203">
        <f t="shared" si="57"/>
        <v>0.34532374100719432</v>
      </c>
      <c r="F89" s="203">
        <f t="shared" si="57"/>
        <v>0.62684491978609636</v>
      </c>
      <c r="G89" s="203">
        <f t="shared" si="57"/>
        <v>2.1168890934192275E-2</v>
      </c>
      <c r="H89" s="206">
        <v>0.09</v>
      </c>
      <c r="I89" s="206">
        <v>8.5000000000000006E-2</v>
      </c>
      <c r="J89" s="206">
        <v>0.08</v>
      </c>
      <c r="K89" s="206">
        <v>7.4999999999999997E-2</v>
      </c>
      <c r="L89" s="206">
        <v>7.4999999999999997E-2</v>
      </c>
    </row>
    <row r="90" spans="3:12" hidden="1" outlineLevel="1" x14ac:dyDescent="0.3">
      <c r="C90" s="104" t="s">
        <v>212</v>
      </c>
      <c r="D90" s="200"/>
      <c r="E90" s="203">
        <f t="shared" si="57"/>
        <v>-8.6956521739130488E-2</v>
      </c>
      <c r="F90" s="203">
        <f t="shared" si="57"/>
        <v>3.4761904761904772E-2</v>
      </c>
      <c r="G90" s="203">
        <f t="shared" si="57"/>
        <v>2.1168890934192275E-2</v>
      </c>
      <c r="H90" s="206">
        <v>0.03</v>
      </c>
      <c r="I90" s="206">
        <v>0.03</v>
      </c>
      <c r="J90" s="206">
        <v>0.03</v>
      </c>
      <c r="K90" s="206">
        <v>0.03</v>
      </c>
      <c r="L90" s="206">
        <v>0.03</v>
      </c>
    </row>
    <row r="91" spans="3:12" hidden="1" outlineLevel="1" x14ac:dyDescent="0.3">
      <c r="C91" s="104" t="s">
        <v>205</v>
      </c>
      <c r="D91" s="200"/>
      <c r="E91" s="203" t="str">
        <f t="shared" si="57"/>
        <v>nm</v>
      </c>
      <c r="F91" s="203">
        <f t="shared" si="57"/>
        <v>-1</v>
      </c>
      <c r="G91" s="203" t="str">
        <f t="shared" si="57"/>
        <v>nm</v>
      </c>
      <c r="H91" s="203" t="str">
        <f t="shared" ref="H91:L93" si="59">IFERROR(H52/G52-1,"nm")</f>
        <v>nm</v>
      </c>
      <c r="I91" s="203" t="str">
        <f t="shared" si="59"/>
        <v>nm</v>
      </c>
      <c r="J91" s="203" t="str">
        <f t="shared" si="59"/>
        <v>nm</v>
      </c>
      <c r="K91" s="203" t="str">
        <f t="shared" si="59"/>
        <v>nm</v>
      </c>
      <c r="L91" s="203" t="str">
        <f t="shared" si="59"/>
        <v>nm</v>
      </c>
    </row>
    <row r="92" spans="3:12" hidden="1" outlineLevel="1" x14ac:dyDescent="0.3">
      <c r="C92" s="104" t="s">
        <v>208</v>
      </c>
      <c r="D92" s="200"/>
      <c r="E92" s="203">
        <f t="shared" si="57"/>
        <v>-1</v>
      </c>
      <c r="F92" s="203" t="str">
        <f t="shared" si="57"/>
        <v>nm</v>
      </c>
      <c r="G92" s="203">
        <f t="shared" si="57"/>
        <v>2.415384615384597E-2</v>
      </c>
      <c r="H92" s="203">
        <f t="shared" si="59"/>
        <v>-0.5042812077512393</v>
      </c>
      <c r="I92" s="203">
        <f t="shared" si="59"/>
        <v>0</v>
      </c>
      <c r="J92" s="203">
        <f t="shared" si="59"/>
        <v>0</v>
      </c>
      <c r="K92" s="203">
        <f t="shared" si="59"/>
        <v>0</v>
      </c>
      <c r="L92" s="203">
        <f t="shared" si="59"/>
        <v>0</v>
      </c>
    </row>
    <row r="93" spans="3:12" collapsed="1" x14ac:dyDescent="0.3">
      <c r="C93" s="46" t="s">
        <v>204</v>
      </c>
      <c r="D93" s="207"/>
      <c r="E93" s="208">
        <f t="shared" si="57"/>
        <v>8.3737329219920609E-2</v>
      </c>
      <c r="F93" s="208">
        <f t="shared" si="57"/>
        <v>-4.0666937779587631E-4</v>
      </c>
      <c r="G93" s="208">
        <f t="shared" si="57"/>
        <v>6.7127746135069222E-2</v>
      </c>
      <c r="H93" s="208">
        <f t="shared" si="59"/>
        <v>7.2930000000000161E-2</v>
      </c>
      <c r="I93" s="208">
        <f t="shared" si="59"/>
        <v>8.9766331447531433E-2</v>
      </c>
      <c r="J93" s="208">
        <f t="shared" si="59"/>
        <v>9.7260973674941686E-2</v>
      </c>
      <c r="K93" s="208">
        <f t="shared" si="59"/>
        <v>0.11027524185501791</v>
      </c>
      <c r="L93" s="208">
        <f t="shared" si="59"/>
        <v>0.12367843178227722</v>
      </c>
    </row>
    <row r="94" spans="3:12" hidden="1" outlineLevel="1" x14ac:dyDescent="0.3">
      <c r="C94" s="104" t="s">
        <v>202</v>
      </c>
      <c r="D94" s="200"/>
      <c r="E94" s="203">
        <f t="shared" si="57"/>
        <v>0.14131897711978469</v>
      </c>
      <c r="F94" s="203">
        <f t="shared" si="57"/>
        <v>0.1652311320754718</v>
      </c>
      <c r="G94" s="203">
        <f t="shared" si="57"/>
        <v>8.7277202271796028E-3</v>
      </c>
      <c r="H94" s="206">
        <v>7.0000000000000007E-2</v>
      </c>
      <c r="I94" s="206">
        <v>0.1</v>
      </c>
      <c r="J94" s="206">
        <v>0.12</v>
      </c>
      <c r="K94" s="206">
        <v>0.14000000000000001</v>
      </c>
      <c r="L94" s="206">
        <v>0.16</v>
      </c>
    </row>
    <row r="95" spans="3:12" hidden="1" outlineLevel="1" x14ac:dyDescent="0.3">
      <c r="C95" s="104" t="s">
        <v>207</v>
      </c>
      <c r="D95" s="200"/>
      <c r="E95" s="203">
        <f t="shared" si="57"/>
        <v>-7.3170731707317027E-2</v>
      </c>
      <c r="F95" s="203">
        <f t="shared" si="57"/>
        <v>-0.1267631578947368</v>
      </c>
      <c r="G95" s="203">
        <f t="shared" si="57"/>
        <v>5.3953329516117643E-2</v>
      </c>
      <c r="H95" s="206">
        <v>5.8000000000000003E-2</v>
      </c>
      <c r="I95" s="206">
        <v>5.8000000000000003E-2</v>
      </c>
      <c r="J95" s="206">
        <v>5.8000000000000003E-2</v>
      </c>
      <c r="K95" s="206">
        <v>5.8000000000000003E-2</v>
      </c>
      <c r="L95" s="206">
        <v>5.8000000000000003E-2</v>
      </c>
    </row>
    <row r="96" spans="3:12" hidden="1" outlineLevel="1" x14ac:dyDescent="0.3">
      <c r="C96" s="104" t="s">
        <v>206</v>
      </c>
      <c r="D96" s="200"/>
      <c r="E96" s="203">
        <f t="shared" si="57"/>
        <v>-4.0322580645161255E-2</v>
      </c>
      <c r="F96" s="203">
        <f t="shared" si="57"/>
        <v>-0.25640336134453778</v>
      </c>
      <c r="G96" s="203">
        <f t="shared" si="57"/>
        <v>0.77854624355844848</v>
      </c>
      <c r="H96" s="206">
        <v>0.3</v>
      </c>
      <c r="I96" s="206">
        <v>0.2</v>
      </c>
      <c r="J96" s="206">
        <v>0.16</v>
      </c>
      <c r="K96" s="206">
        <v>0.16</v>
      </c>
      <c r="L96" s="206">
        <v>0.16</v>
      </c>
    </row>
    <row r="97" spans="3:14" hidden="1" outlineLevel="1" x14ac:dyDescent="0.3">
      <c r="C97" s="104" t="s">
        <v>212</v>
      </c>
      <c r="D97" s="200"/>
      <c r="E97" s="203">
        <f t="shared" si="57"/>
        <v>3.8990825688073327E-2</v>
      </c>
      <c r="F97" s="203">
        <f t="shared" si="57"/>
        <v>4.180132450331131E-2</v>
      </c>
      <c r="G97" s="203">
        <f t="shared" si="57"/>
        <v>5.6011832112828897E-2</v>
      </c>
      <c r="H97" s="206">
        <v>4.4999999999999998E-2</v>
      </c>
      <c r="I97" s="206">
        <v>4.4999999999999998E-2</v>
      </c>
      <c r="J97" s="206">
        <v>4.4999999999999998E-2</v>
      </c>
      <c r="K97" s="206">
        <v>4.4999999999999998E-2</v>
      </c>
      <c r="L97" s="206">
        <v>4.4999999999999998E-2</v>
      </c>
    </row>
    <row r="98" spans="3:14" hidden="1" outlineLevel="1" x14ac:dyDescent="0.3">
      <c r="C98" s="104" t="s">
        <v>205</v>
      </c>
      <c r="D98" s="200"/>
      <c r="E98" s="203">
        <f t="shared" si="57"/>
        <v>0.32571428571428562</v>
      </c>
      <c r="F98" s="203">
        <f t="shared" si="57"/>
        <v>-8.8844827586207042E-2</v>
      </c>
      <c r="G98" s="203">
        <f t="shared" si="57"/>
        <v>-6.9365337672904759E-2</v>
      </c>
      <c r="H98" s="206">
        <v>-0.05</v>
      </c>
      <c r="I98" s="206">
        <v>0.04</v>
      </c>
      <c r="J98" s="206">
        <v>7.0000000000000007E-2</v>
      </c>
      <c r="K98" s="206">
        <v>0.1</v>
      </c>
      <c r="L98" s="206">
        <v>0.13</v>
      </c>
    </row>
    <row r="99" spans="3:14" hidden="1" outlineLevel="1" x14ac:dyDescent="0.3">
      <c r="C99" s="104" t="s">
        <v>208</v>
      </c>
      <c r="D99" s="204"/>
      <c r="E99" s="203" t="str">
        <f t="shared" si="57"/>
        <v>nm</v>
      </c>
      <c r="F99" s="203" t="str">
        <f t="shared" si="57"/>
        <v>nm</v>
      </c>
      <c r="G99" s="203" t="str">
        <f t="shared" si="57"/>
        <v>nm</v>
      </c>
      <c r="H99" s="203" t="str">
        <f>IFERROR(H60/G60-1,"nm")</f>
        <v>nm</v>
      </c>
      <c r="I99" s="203" t="str">
        <f>IFERROR(I60/H60-1,"nm")</f>
        <v>nm</v>
      </c>
      <c r="J99" s="203" t="str">
        <f>IFERROR(J60/I60-1,"nm")</f>
        <v>nm</v>
      </c>
      <c r="K99" s="203" t="str">
        <f>IFERROR(K60/J60-1,"nm")</f>
        <v>nm</v>
      </c>
      <c r="L99" s="203" t="str">
        <f>IFERROR(L60/K60-1,"nm")</f>
        <v>nm</v>
      </c>
    </row>
    <row r="100" spans="3:14" collapsed="1" x14ac:dyDescent="0.3">
      <c r="C100" s="110" t="s">
        <v>272</v>
      </c>
      <c r="D100" s="111"/>
      <c r="E100" s="205">
        <f t="shared" ref="E100:L100" si="60">E61/D61-1</f>
        <v>6.9928684627575288E-2</v>
      </c>
      <c r="F100" s="205">
        <f t="shared" si="60"/>
        <v>1.5812256989446327E-2</v>
      </c>
      <c r="G100" s="205">
        <f t="shared" si="60"/>
        <v>4.2213093389802836E-2</v>
      </c>
      <c r="H100" s="205">
        <f t="shared" si="60"/>
        <v>4.5130240501695118E-2</v>
      </c>
      <c r="I100" s="205">
        <f t="shared" si="60"/>
        <v>6.2332383014706672E-2</v>
      </c>
      <c r="J100" s="205">
        <f t="shared" si="60"/>
        <v>6.672386265101915E-2</v>
      </c>
      <c r="K100" s="205">
        <f t="shared" si="60"/>
        <v>7.303609225928609E-2</v>
      </c>
      <c r="L100" s="205">
        <f t="shared" si="60"/>
        <v>8.0615228094537805E-2</v>
      </c>
    </row>
    <row r="101" spans="3:14" x14ac:dyDescent="0.3">
      <c r="C101" s="23"/>
      <c r="D101" s="81"/>
      <c r="E101" s="81"/>
      <c r="F101" s="81"/>
      <c r="G101" s="81"/>
      <c r="H101" s="81"/>
      <c r="I101" s="81"/>
      <c r="J101" s="81"/>
      <c r="K101" s="81"/>
      <c r="L101" s="81"/>
    </row>
    <row r="102" spans="3:14" x14ac:dyDescent="0.3">
      <c r="C102" s="114" t="s">
        <v>438</v>
      </c>
      <c r="D102" s="34" t="s">
        <v>82</v>
      </c>
      <c r="E102" s="33"/>
      <c r="F102" s="33"/>
      <c r="G102" s="33"/>
      <c r="H102" s="34" t="s">
        <v>83</v>
      </c>
      <c r="I102" s="33"/>
      <c r="J102" s="33"/>
      <c r="K102" s="33"/>
      <c r="L102" s="33"/>
    </row>
    <row r="103" spans="3:14" x14ac:dyDescent="0.3">
      <c r="C103" s="28" t="s">
        <v>202</v>
      </c>
      <c r="D103" s="81"/>
      <c r="E103" s="117">
        <f t="shared" ref="E103:L109" si="61">E70/D70-1</f>
        <v>8.8039867109634518E-2</v>
      </c>
      <c r="F103" s="117">
        <f t="shared" si="61"/>
        <v>5.1559287531806719E-2</v>
      </c>
      <c r="G103" s="117">
        <f t="shared" si="61"/>
        <v>2.6959116571827701E-2</v>
      </c>
      <c r="H103" s="117">
        <f t="shared" si="61"/>
        <v>5.3745311160447562E-2</v>
      </c>
      <c r="I103" s="117">
        <f t="shared" si="61"/>
        <v>6.8277566678483614E-2</v>
      </c>
      <c r="J103" s="117">
        <f t="shared" si="61"/>
        <v>7.896036295089881E-2</v>
      </c>
      <c r="K103" s="117">
        <f t="shared" si="61"/>
        <v>9.0664239598111207E-2</v>
      </c>
      <c r="L103" s="117">
        <f t="shared" si="61"/>
        <v>0.10364367208286884</v>
      </c>
    </row>
    <row r="104" spans="3:14" x14ac:dyDescent="0.3">
      <c r="C104" s="28" t="s">
        <v>207</v>
      </c>
      <c r="D104" s="81"/>
      <c r="E104" s="117">
        <f t="shared" si="61"/>
        <v>5.3475935828877219E-3</v>
      </c>
      <c r="F104" s="117">
        <f t="shared" si="61"/>
        <v>-9.1775075987841848E-2</v>
      </c>
      <c r="G104" s="117">
        <f t="shared" si="61"/>
        <v>1.5098425065092291E-2</v>
      </c>
      <c r="H104" s="117">
        <f t="shared" si="61"/>
        <v>4.0696250628466935E-2</v>
      </c>
      <c r="I104" s="117">
        <f t="shared" si="61"/>
        <v>4.0866327789824686E-2</v>
      </c>
      <c r="J104" s="117">
        <f t="shared" si="61"/>
        <v>4.206616757555226E-2</v>
      </c>
      <c r="K104" s="117">
        <f t="shared" si="61"/>
        <v>4.2802554560134265E-2</v>
      </c>
      <c r="L104" s="117">
        <f t="shared" si="61"/>
        <v>4.3591885240307215E-2</v>
      </c>
    </row>
    <row r="105" spans="3:14" x14ac:dyDescent="0.3">
      <c r="C105" s="28" t="s">
        <v>206</v>
      </c>
      <c r="D105" s="81"/>
      <c r="E105" s="117">
        <f t="shared" si="61"/>
        <v>0.10025706940874035</v>
      </c>
      <c r="F105" s="117">
        <f t="shared" si="61"/>
        <v>0.14028971962616832</v>
      </c>
      <c r="G105" s="117">
        <f t="shared" si="61"/>
        <v>0.29943201842456824</v>
      </c>
      <c r="H105" s="117">
        <f t="shared" si="61"/>
        <v>0.19643855056923876</v>
      </c>
      <c r="I105" s="117">
        <f t="shared" si="61"/>
        <v>0.1486776260765299</v>
      </c>
      <c r="J105" s="117">
        <f t="shared" si="61"/>
        <v>0.12687972075016729</v>
      </c>
      <c r="K105" s="117">
        <f t="shared" si="61"/>
        <v>0.12630176269311133</v>
      </c>
      <c r="L105" s="117">
        <f t="shared" si="61"/>
        <v>0.12790795008279621</v>
      </c>
    </row>
    <row r="106" spans="3:14" x14ac:dyDescent="0.3">
      <c r="C106" s="28" t="s">
        <v>212</v>
      </c>
      <c r="D106" s="81"/>
      <c r="E106" s="117">
        <f t="shared" si="61"/>
        <v>2.7661357921207053E-2</v>
      </c>
      <c r="F106" s="117">
        <f t="shared" si="61"/>
        <v>6.561174551386495E-3</v>
      </c>
      <c r="G106" s="117">
        <f t="shared" si="61"/>
        <v>2.9938964899144827E-2</v>
      </c>
      <c r="H106" s="117">
        <f t="shared" si="61"/>
        <v>2.5818967891171551E-2</v>
      </c>
      <c r="I106" s="117">
        <f t="shared" si="61"/>
        <v>3.1037886091381806E-2</v>
      </c>
      <c r="J106" s="117">
        <f t="shared" si="61"/>
        <v>3.1172056943674198E-2</v>
      </c>
      <c r="K106" s="117">
        <f t="shared" si="61"/>
        <v>2.6458952064291053E-2</v>
      </c>
      <c r="L106" s="117">
        <f t="shared" si="61"/>
        <v>2.1955670923121895E-2</v>
      </c>
    </row>
    <row r="107" spans="3:14" x14ac:dyDescent="0.3">
      <c r="C107" s="28" t="s">
        <v>205</v>
      </c>
      <c r="D107" s="81"/>
      <c r="E107" s="117">
        <f t="shared" si="61"/>
        <v>0.32857142857142851</v>
      </c>
      <c r="F107" s="117">
        <f t="shared" si="61"/>
        <v>-9.0804301075268934E-2</v>
      </c>
      <c r="G107" s="117">
        <f t="shared" si="61"/>
        <v>-6.9365337672904759E-2</v>
      </c>
      <c r="H107" s="117">
        <f t="shared" si="61"/>
        <v>-5.0000000000000044E-2</v>
      </c>
      <c r="I107" s="117">
        <f t="shared" si="61"/>
        <v>4.0000000000000036E-2</v>
      </c>
      <c r="J107" s="117">
        <f t="shared" si="61"/>
        <v>7.0000000000000062E-2</v>
      </c>
      <c r="K107" s="117">
        <f t="shared" si="61"/>
        <v>0.10000000000000009</v>
      </c>
      <c r="L107" s="117">
        <f t="shared" si="61"/>
        <v>0.12999999999999989</v>
      </c>
    </row>
    <row r="108" spans="3:14" x14ac:dyDescent="0.3">
      <c r="C108" s="106" t="s">
        <v>208</v>
      </c>
      <c r="D108" s="109"/>
      <c r="E108" s="118">
        <f t="shared" si="61"/>
        <v>0</v>
      </c>
      <c r="F108" s="118">
        <f t="shared" si="61"/>
        <v>79</v>
      </c>
      <c r="G108" s="118">
        <f t="shared" si="61"/>
        <v>5.1124999999999865E-2</v>
      </c>
      <c r="H108" s="118">
        <f t="shared" si="61"/>
        <v>-0.51242716137471755</v>
      </c>
      <c r="I108" s="118">
        <f t="shared" si="61"/>
        <v>0</v>
      </c>
      <c r="J108" s="118">
        <f t="shared" si="61"/>
        <v>0</v>
      </c>
      <c r="K108" s="118">
        <f t="shared" si="61"/>
        <v>0</v>
      </c>
      <c r="L108" s="118">
        <f t="shared" si="61"/>
        <v>0</v>
      </c>
    </row>
    <row r="109" spans="3:14" x14ac:dyDescent="0.3">
      <c r="C109" s="110" t="s">
        <v>272</v>
      </c>
      <c r="D109" s="81"/>
      <c r="E109" s="117">
        <f t="shared" si="61"/>
        <v>6.9928684627575288E-2</v>
      </c>
      <c r="F109" s="117">
        <f t="shared" si="61"/>
        <v>1.5812256989446327E-2</v>
      </c>
      <c r="G109" s="117">
        <f t="shared" si="61"/>
        <v>4.2213093389802614E-2</v>
      </c>
      <c r="H109" s="117">
        <f t="shared" si="61"/>
        <v>4.5130240501695118E-2</v>
      </c>
      <c r="I109" s="117">
        <f t="shared" si="61"/>
        <v>6.2332383014706672E-2</v>
      </c>
      <c r="J109" s="117">
        <f t="shared" si="61"/>
        <v>6.672386265101915E-2</v>
      </c>
      <c r="K109" s="117">
        <f t="shared" si="61"/>
        <v>7.3036092259286312E-2</v>
      </c>
      <c r="L109" s="117">
        <f t="shared" si="61"/>
        <v>8.0615228094537805E-2</v>
      </c>
    </row>
    <row r="110" spans="3:14" x14ac:dyDescent="0.3">
      <c r="C110" s="23"/>
      <c r="D110" s="81"/>
      <c r="E110" s="81"/>
      <c r="F110" s="81"/>
      <c r="G110" s="81"/>
      <c r="H110" s="81"/>
      <c r="I110" s="81"/>
      <c r="J110" s="81"/>
      <c r="K110" s="81"/>
      <c r="L110" s="81"/>
    </row>
    <row r="111" spans="3:14" x14ac:dyDescent="0.3">
      <c r="C111" s="114" t="s">
        <v>220</v>
      </c>
      <c r="D111" s="34" t="s">
        <v>82</v>
      </c>
      <c r="E111" s="33"/>
      <c r="F111" s="33"/>
      <c r="G111" s="33"/>
      <c r="H111" s="34" t="s">
        <v>83</v>
      </c>
      <c r="I111" s="33"/>
      <c r="J111" s="33"/>
      <c r="K111" s="33"/>
      <c r="L111" s="33"/>
    </row>
    <row r="112" spans="3:14" x14ac:dyDescent="0.3">
      <c r="C112" s="28" t="s">
        <v>203</v>
      </c>
      <c r="D112" s="81">
        <f>D21/D40</f>
        <v>674.76102941176475</v>
      </c>
      <c r="E112" s="81">
        <f>E21/E40</f>
        <v>781.79587155963304</v>
      </c>
      <c r="F112" s="81">
        <f>F21/F40</f>
        <v>973.13789750254796</v>
      </c>
      <c r="G112" s="81">
        <f>G21/G40</f>
        <v>913.19063926940635</v>
      </c>
      <c r="H112" s="81">
        <f ca="1">H232*H235</f>
        <v>932.98390714897482</v>
      </c>
      <c r="I112" s="81">
        <f ca="1">I232*I235</f>
        <v>864.34859106644763</v>
      </c>
      <c r="J112" s="81">
        <f ca="1">J232*J235</f>
        <v>873.65938665621411</v>
      </c>
      <c r="K112" s="81">
        <f ca="1">K232*K235</f>
        <v>955.33860481881879</v>
      </c>
      <c r="L112" s="81">
        <f ca="1">L232*L235</f>
        <v>1049.8171616603402</v>
      </c>
      <c r="N112" s="149">
        <f ca="1">((L112/G112)^(1/(COUNTA($H$3:$L$3)))-1)</f>
        <v>2.8277761369171373E-2</v>
      </c>
    </row>
    <row r="113" spans="3:14" x14ac:dyDescent="0.3">
      <c r="C113" s="28" t="s">
        <v>509</v>
      </c>
      <c r="D113" s="81">
        <f>D22/D47</f>
        <v>678.88537952114109</v>
      </c>
      <c r="E113" s="81">
        <f>E22/E47</f>
        <v>796.80289855072465</v>
      </c>
      <c r="F113" s="81">
        <f>F22/F47</f>
        <v>1186.2021989957705</v>
      </c>
      <c r="G113" s="81">
        <f>G22/G47</f>
        <v>1061.2888688598466</v>
      </c>
      <c r="H113" s="81">
        <f ca="1">H232*H236</f>
        <v>1084.2921432864803</v>
      </c>
      <c r="I113" s="81">
        <f ca="1">I232*I236</f>
        <v>1004.5257792473788</v>
      </c>
      <c r="J113" s="81">
        <f ca="1">J232*J236</f>
        <v>1015.3465687898056</v>
      </c>
      <c r="K113" s="81">
        <f ca="1">K232*K236</f>
        <v>1110.2722516926653</v>
      </c>
      <c r="L113" s="81">
        <f ca="1">L232*L236</f>
        <v>1220.0730275767335</v>
      </c>
      <c r="N113" s="149">
        <f ca="1">((L113/G113)^(1/(COUNTA($H$3:$L$3)))-1)</f>
        <v>2.8277761369171373E-2</v>
      </c>
    </row>
    <row r="114" spans="3:14" x14ac:dyDescent="0.3">
      <c r="C114" s="106" t="s">
        <v>204</v>
      </c>
      <c r="D114" s="109">
        <f>D23/D54</f>
        <v>639.22432789775235</v>
      </c>
      <c r="E114" s="109">
        <f>E23/E54</f>
        <v>675.80479869865803</v>
      </c>
      <c r="F114" s="109">
        <f>F23/F54</f>
        <v>1078.4283970707893</v>
      </c>
      <c r="G114" s="109">
        <f>G23/G54</f>
        <v>912.69538696149448</v>
      </c>
      <c r="H114" s="109">
        <f ca="1">H232*H237</f>
        <v>932.47792032279585</v>
      </c>
      <c r="I114" s="109">
        <f ca="1">I232*I237</f>
        <v>863.87982735363892</v>
      </c>
      <c r="J114" s="109">
        <f ca="1">J232*J237</f>
        <v>873.18557340302891</v>
      </c>
      <c r="K114" s="109">
        <f ca="1">K232*K237</f>
        <v>954.82049432958695</v>
      </c>
      <c r="L114" s="109">
        <f ca="1">L232*L237</f>
        <v>1049.2478124468903</v>
      </c>
      <c r="N114" s="149">
        <f ca="1">((L114/G114)^(1/(COUNTA($H$3:$L$3)))-1)</f>
        <v>2.827776136917115E-2</v>
      </c>
    </row>
    <row r="115" spans="3:14" x14ac:dyDescent="0.3">
      <c r="C115" s="23" t="s">
        <v>221</v>
      </c>
      <c r="D115" s="81">
        <f t="shared" ref="D115:G115" si="62">D24/D61</f>
        <v>660.39164025356581</v>
      </c>
      <c r="E115" s="81">
        <f t="shared" si="62"/>
        <v>739.29124236252551</v>
      </c>
      <c r="F115" s="81">
        <f t="shared" si="62"/>
        <v>1104.6908338105741</v>
      </c>
      <c r="G115" s="81">
        <f t="shared" si="62"/>
        <v>970.4363413781042</v>
      </c>
      <c r="H115" s="81">
        <f ca="1">H24/H61</f>
        <v>990.43278072288012</v>
      </c>
      <c r="I115" s="81">
        <f ca="1">I24/I61</f>
        <v>916.55251973427016</v>
      </c>
      <c r="J115" s="81">
        <f ca="1">J24/J61</f>
        <v>925.17922258736598</v>
      </c>
      <c r="K115" s="81">
        <f ca="1">K24/K61</f>
        <v>1009.9900912143485</v>
      </c>
      <c r="L115" s="81">
        <f ca="1">L24/L61</f>
        <v>1107.6774146943794</v>
      </c>
      <c r="N115" s="149">
        <f ca="1">((L115/G115)^(1/(COUNTA($H$3:$L$3)))-1)</f>
        <v>2.680801442023717E-2</v>
      </c>
    </row>
    <row r="116" spans="3:14" x14ac:dyDescent="0.3">
      <c r="C116" s="23"/>
      <c r="D116" s="81"/>
      <c r="E116" s="81"/>
      <c r="F116" s="81"/>
      <c r="G116" s="81"/>
      <c r="H116" s="81"/>
      <c r="I116" s="81"/>
      <c r="J116" s="81"/>
      <c r="K116" s="81"/>
    </row>
    <row r="117" spans="3:14" x14ac:dyDescent="0.3">
      <c r="C117" s="114" t="s">
        <v>9</v>
      </c>
      <c r="D117" s="34" t="s">
        <v>82</v>
      </c>
      <c r="E117" s="33"/>
      <c r="F117" s="33"/>
      <c r="G117" s="34"/>
      <c r="H117" s="34" t="s">
        <v>83</v>
      </c>
      <c r="I117" s="33"/>
      <c r="J117" s="33"/>
      <c r="K117" s="33"/>
      <c r="L117" s="33"/>
    </row>
    <row r="118" spans="3:14" x14ac:dyDescent="0.3">
      <c r="C118" s="28" t="s">
        <v>203</v>
      </c>
      <c r="D118" s="81">
        <f>D124*D40</f>
        <v>173808</v>
      </c>
      <c r="E118" s="81">
        <f>E124*E40</f>
        <v>194456</v>
      </c>
      <c r="F118" s="81">
        <f>F124*F40</f>
        <v>196786.16</v>
      </c>
      <c r="G118" s="81">
        <f>G124*G40</f>
        <v>183084</v>
      </c>
      <c r="H118" s="81">
        <f t="shared" ref="H118:L120" ca="1" si="63">H21*H130</f>
        <v>222521.67272588264</v>
      </c>
      <c r="I118" s="81">
        <f t="shared" ca="1" si="63"/>
        <v>211690.30092044329</v>
      </c>
      <c r="J118" s="81">
        <f t="shared" ca="1" si="63"/>
        <v>220134.70999146099</v>
      </c>
      <c r="K118" s="81">
        <f t="shared" ca="1" si="63"/>
        <v>246248.57364291593</v>
      </c>
      <c r="L118" s="81">
        <f t="shared" ca="1" si="63"/>
        <v>275366.21631537913</v>
      </c>
      <c r="N118" s="149">
        <f ca="1">((L118/G118)^(1/(COUNTA($H$3:$L$3)))-1)</f>
        <v>8.5055750589224211E-2</v>
      </c>
    </row>
    <row r="119" spans="3:14" x14ac:dyDescent="0.3">
      <c r="C119" s="28" t="s">
        <v>509</v>
      </c>
      <c r="D119" s="81">
        <f>D125*D47</f>
        <v>227708</v>
      </c>
      <c r="E119" s="81">
        <f>E125*E47</f>
        <v>207000</v>
      </c>
      <c r="F119" s="81">
        <f>F125*F47</f>
        <v>280292.49</v>
      </c>
      <c r="G119" s="81">
        <f>G125*G47</f>
        <v>679014.00000000012</v>
      </c>
      <c r="H119" s="81">
        <f t="shared" ca="1" si="63"/>
        <v>494091.5666891982</v>
      </c>
      <c r="I119" s="81">
        <f t="shared" ca="1" si="63"/>
        <v>477058.63344889641</v>
      </c>
      <c r="J119" s="81">
        <f t="shared" ca="1" si="63"/>
        <v>502337.29316724039</v>
      </c>
      <c r="K119" s="81">
        <f t="shared" ca="1" si="63"/>
        <v>571964.1807994619</v>
      </c>
      <c r="L119" s="81">
        <f t="shared" ca="1" si="63"/>
        <v>654614.05766394432</v>
      </c>
      <c r="N119" s="149">
        <f ca="1">((L119/G119)^(1/(COUNTA($H$3:$L$3)))-1)</f>
        <v>-7.2924617921628077E-3</v>
      </c>
    </row>
    <row r="120" spans="3:14" x14ac:dyDescent="0.3">
      <c r="C120" s="112" t="s">
        <v>204</v>
      </c>
      <c r="D120" s="109">
        <f>D126*D54</f>
        <v>199672</v>
      </c>
      <c r="E120" s="109">
        <f>E126*E54</f>
        <v>231146</v>
      </c>
      <c r="F120" s="109">
        <f>F126*F54</f>
        <v>290044</v>
      </c>
      <c r="G120" s="109">
        <f>G126*G54</f>
        <v>763293</v>
      </c>
      <c r="H120" s="109">
        <f t="shared" ca="1" si="63"/>
        <v>524853.66248824634</v>
      </c>
      <c r="I120" s="109">
        <f t="shared" ca="1" si="63"/>
        <v>529890.81780328334</v>
      </c>
      <c r="J120" s="109">
        <f t="shared" ca="1" si="63"/>
        <v>587691.68455139815</v>
      </c>
      <c r="K120" s="109">
        <f t="shared" ca="1" si="63"/>
        <v>713502.30705745181</v>
      </c>
      <c r="L120" s="109">
        <f t="shared" ca="1" si="63"/>
        <v>881036.22817794757</v>
      </c>
      <c r="N120" s="149">
        <f ca="1">((L120/G120)^(1/(COUNTA($H$3:$L$3)))-1)</f>
        <v>2.910691750786043E-2</v>
      </c>
    </row>
    <row r="121" spans="3:14" x14ac:dyDescent="0.3">
      <c r="C121" s="23" t="s">
        <v>214</v>
      </c>
      <c r="D121" s="81">
        <f>SUM(D118:D120)</f>
        <v>601188</v>
      </c>
      <c r="E121" s="81">
        <f t="shared" ref="E121:G121" si="64">SUM(E118:E120)</f>
        <v>632602</v>
      </c>
      <c r="F121" s="81">
        <f t="shared" si="64"/>
        <v>767122.65</v>
      </c>
      <c r="G121" s="81">
        <f t="shared" si="64"/>
        <v>1625391</v>
      </c>
      <c r="H121" s="81">
        <f ca="1">SUM(H118:H120)</f>
        <v>1241466.9019033271</v>
      </c>
      <c r="I121" s="81">
        <f ca="1">SUM(I118:I120)</f>
        <v>1218639.7521726231</v>
      </c>
      <c r="J121" s="81">
        <f ca="1">SUM(J118:J120)</f>
        <v>1310163.6877100994</v>
      </c>
      <c r="K121" s="81">
        <f ca="1">SUM(K118:K120)</f>
        <v>1531715.0614998296</v>
      </c>
      <c r="L121" s="81">
        <f ca="1">SUM(L118:L120)</f>
        <v>1811016.5021572709</v>
      </c>
      <c r="N121" s="149">
        <f ca="1">((L121/G121)^(1/(COUNTA($H$3:$L$3)))-1)</f>
        <v>2.1863557782021203E-2</v>
      </c>
    </row>
    <row r="122" spans="3:14" x14ac:dyDescent="0.3">
      <c r="C122" s="23"/>
      <c r="D122" s="81"/>
      <c r="E122" s="81"/>
      <c r="F122" s="81"/>
      <c r="G122" s="81"/>
      <c r="H122" s="81"/>
      <c r="I122" s="81"/>
      <c r="J122" s="81"/>
      <c r="K122" s="81"/>
    </row>
    <row r="123" spans="3:14" x14ac:dyDescent="0.3">
      <c r="C123" s="114" t="s">
        <v>216</v>
      </c>
      <c r="D123" s="34" t="s">
        <v>82</v>
      </c>
      <c r="E123" s="33"/>
      <c r="F123" s="33"/>
      <c r="G123" s="34"/>
      <c r="H123" s="34" t="s">
        <v>83</v>
      </c>
      <c r="I123" s="33"/>
      <c r="J123" s="33"/>
      <c r="K123" s="33"/>
      <c r="L123" s="33"/>
    </row>
    <row r="124" spans="3:14" x14ac:dyDescent="0.3">
      <c r="C124" s="28" t="s">
        <v>203</v>
      </c>
      <c r="D124" s="10">
        <v>213</v>
      </c>
      <c r="E124" s="10">
        <v>223</v>
      </c>
      <c r="F124" s="10">
        <v>230</v>
      </c>
      <c r="G124" s="10">
        <v>209</v>
      </c>
      <c r="H124" s="81">
        <f t="shared" ref="H124:L126" ca="1" si="65">H112*H130</f>
        <v>251.90565493022322</v>
      </c>
      <c r="I124" s="81">
        <f t="shared" ca="1" si="65"/>
        <v>233.37411958794087</v>
      </c>
      <c r="J124" s="81">
        <f t="shared" ca="1" si="65"/>
        <v>235.88803439717782</v>
      </c>
      <c r="K124" s="81">
        <f t="shared" ca="1" si="65"/>
        <v>257.9414233010811</v>
      </c>
      <c r="L124" s="81">
        <f t="shared" ca="1" si="65"/>
        <v>283.45063364829184</v>
      </c>
      <c r="N124" s="149">
        <f ca="1">((L124/G124)^(1/(COUNTA($H$3:$L$3)))-1)</f>
        <v>6.2835933826703938E-2</v>
      </c>
    </row>
    <row r="125" spans="3:14" x14ac:dyDescent="0.3">
      <c r="C125" s="28" t="s">
        <v>509</v>
      </c>
      <c r="D125" s="10">
        <v>116</v>
      </c>
      <c r="E125" s="10">
        <v>100</v>
      </c>
      <c r="F125" s="10">
        <v>129</v>
      </c>
      <c r="G125" s="10">
        <v>306</v>
      </c>
      <c r="H125" s="81">
        <f t="shared" ca="1" si="65"/>
        <v>216.85842865729606</v>
      </c>
      <c r="I125" s="81">
        <f t="shared" ca="1" si="65"/>
        <v>200.90515584947576</v>
      </c>
      <c r="J125" s="81">
        <f t="shared" ca="1" si="65"/>
        <v>203.06931375796114</v>
      </c>
      <c r="K125" s="81">
        <f t="shared" ca="1" si="65"/>
        <v>222.05445033853309</v>
      </c>
      <c r="L125" s="81">
        <f t="shared" ca="1" si="65"/>
        <v>244.01460551534672</v>
      </c>
      <c r="N125" s="149">
        <f ca="1">((L125/G125)^(1/(COUNTA($H$3:$L$3)))-1)</f>
        <v>-4.4261944459368485E-2</v>
      </c>
    </row>
    <row r="126" spans="3:14" x14ac:dyDescent="0.3">
      <c r="C126" s="112" t="s">
        <v>204</v>
      </c>
      <c r="D126" s="113">
        <v>88</v>
      </c>
      <c r="E126" s="113">
        <v>94</v>
      </c>
      <c r="F126" s="113">
        <v>118</v>
      </c>
      <c r="G126" s="113">
        <v>291</v>
      </c>
      <c r="H126" s="109">
        <f t="shared" ca="1" si="65"/>
        <v>186.49558406455918</v>
      </c>
      <c r="I126" s="109">
        <f t="shared" ca="1" si="65"/>
        <v>172.77596547072778</v>
      </c>
      <c r="J126" s="109">
        <f t="shared" ca="1" si="65"/>
        <v>174.63711468060581</v>
      </c>
      <c r="K126" s="109">
        <f t="shared" ca="1" si="65"/>
        <v>190.96409886591741</v>
      </c>
      <c r="L126" s="109">
        <f t="shared" ca="1" si="65"/>
        <v>209.84956248937806</v>
      </c>
      <c r="N126" s="149">
        <f ca="1">((L126/G126)^(1/(COUNTA($H$3:$L$3)))-1)</f>
        <v>-6.3294617412569809E-2</v>
      </c>
    </row>
    <row r="127" spans="3:14" x14ac:dyDescent="0.3">
      <c r="C127" s="23" t="s">
        <v>214</v>
      </c>
      <c r="D127" s="81">
        <f t="shared" ref="D127:L127" si="66">D121/D61</f>
        <v>119.09429477020602</v>
      </c>
      <c r="E127" s="81">
        <f t="shared" si="66"/>
        <v>117.12682836511758</v>
      </c>
      <c r="F127" s="81">
        <f t="shared" si="66"/>
        <v>139.82253761208167</v>
      </c>
      <c r="G127" s="81">
        <f t="shared" si="66"/>
        <v>284.25865687303252</v>
      </c>
      <c r="H127" s="81">
        <f t="shared" ca="1" si="66"/>
        <v>207.74021676006825</v>
      </c>
      <c r="I127" s="81">
        <f t="shared" ca="1" si="66"/>
        <v>191.955409457348</v>
      </c>
      <c r="J127" s="81">
        <f t="shared" ca="1" si="66"/>
        <v>193.46328717085541</v>
      </c>
      <c r="K127" s="81">
        <f t="shared" ca="1" si="66"/>
        <v>210.78352209922892</v>
      </c>
      <c r="L127" s="81">
        <f t="shared" ca="1" si="66"/>
        <v>230.62691973692822</v>
      </c>
      <c r="N127" s="149">
        <f ca="1">((L127/G127)^(1/(COUNTA($H$3:$L$3)))-1)</f>
        <v>-4.0954394243900794E-2</v>
      </c>
    </row>
    <row r="128" spans="3:14" x14ac:dyDescent="0.3">
      <c r="C128" s="23"/>
      <c r="D128" s="107"/>
      <c r="E128" s="107"/>
      <c r="F128" s="107"/>
    </row>
    <row r="129" spans="3:12" x14ac:dyDescent="0.3">
      <c r="C129" s="114" t="s">
        <v>219</v>
      </c>
      <c r="D129" s="34" t="s">
        <v>82</v>
      </c>
      <c r="E129" s="33"/>
      <c r="F129" s="33"/>
      <c r="G129" s="34"/>
      <c r="H129" s="34" t="s">
        <v>83</v>
      </c>
      <c r="I129" s="33"/>
      <c r="J129" s="33"/>
      <c r="K129" s="33"/>
      <c r="L129" s="33"/>
    </row>
    <row r="130" spans="3:12" x14ac:dyDescent="0.3">
      <c r="C130" s="28" t="s">
        <v>203</v>
      </c>
      <c r="D130" s="21">
        <f t="shared" ref="D130:G132" si="67">D118/D21</f>
        <v>0.31566731141199228</v>
      </c>
      <c r="E130" s="21">
        <f t="shared" si="67"/>
        <v>0.28524069787568612</v>
      </c>
      <c r="F130" s="21">
        <f t="shared" si="67"/>
        <v>0.23634882639990681</v>
      </c>
      <c r="G130" s="21">
        <f t="shared" si="67"/>
        <v>0.22886787381790225</v>
      </c>
      <c r="H130" s="180">
        <f ca="1">_xlfn.XLOOKUP(H$3,'Scenario Analysis'!$G$3:$K$3,'Scenario Analysis'!$G$9:$K$9)</f>
        <v>0.27</v>
      </c>
      <c r="I130" s="180">
        <f ca="1">_xlfn.XLOOKUP(I$3,'Scenario Analysis'!$G$3:$K$3,'Scenario Analysis'!$G$9:$K$9)</f>
        <v>0.27</v>
      </c>
      <c r="J130" s="180">
        <f ca="1">_xlfn.XLOOKUP(J$3,'Scenario Analysis'!$G$3:$K$3,'Scenario Analysis'!$G$9:$K$9)</f>
        <v>0.27</v>
      </c>
      <c r="K130" s="180">
        <f ca="1">_xlfn.XLOOKUP(K$3,'Scenario Analysis'!$G$3:$K$3,'Scenario Analysis'!$G$9:$K$9)</f>
        <v>0.27</v>
      </c>
      <c r="L130" s="180">
        <f ca="1">_xlfn.XLOOKUP(L$3,'Scenario Analysis'!$G$3:$K$3,'Scenario Analysis'!$G$9:$K$9)</f>
        <v>0.27</v>
      </c>
    </row>
    <row r="131" spans="3:12" x14ac:dyDescent="0.3">
      <c r="C131" s="28" t="s">
        <v>509</v>
      </c>
      <c r="D131" s="21">
        <f t="shared" si="67"/>
        <v>0.17086831370830494</v>
      </c>
      <c r="E131" s="21">
        <f t="shared" si="67"/>
        <v>0.12550155149019451</v>
      </c>
      <c r="F131" s="21">
        <f t="shared" si="67"/>
        <v>0.10875043066789995</v>
      </c>
      <c r="G131" s="21">
        <f t="shared" si="67"/>
        <v>0.28832866242038224</v>
      </c>
      <c r="H131" s="180">
        <f ca="1">_xlfn.XLOOKUP(H$3,'Scenario Analysis'!$G$3:$K$3,'Scenario Analysis'!$G$10:$K$10)</f>
        <v>0.2</v>
      </c>
      <c r="I131" s="180">
        <f ca="1">_xlfn.XLOOKUP(I$3,'Scenario Analysis'!$G$3:$K$3,'Scenario Analysis'!$G$10:$K$10)</f>
        <v>0.2</v>
      </c>
      <c r="J131" s="180">
        <f ca="1">_xlfn.XLOOKUP(J$3,'Scenario Analysis'!$G$3:$K$3,'Scenario Analysis'!$G$10:$K$10)</f>
        <v>0.2</v>
      </c>
      <c r="K131" s="180">
        <f ca="1">_xlfn.XLOOKUP(K$3,'Scenario Analysis'!$G$3:$K$3,'Scenario Analysis'!$G$10:$K$10)</f>
        <v>0.2</v>
      </c>
      <c r="L131" s="180">
        <f ca="1">_xlfn.XLOOKUP(L$3,'Scenario Analysis'!$G$3:$K$3,'Scenario Analysis'!$G$10:$K$10)</f>
        <v>0.2</v>
      </c>
    </row>
    <row r="132" spans="3:12" x14ac:dyDescent="0.3">
      <c r="C132" s="112" t="s">
        <v>204</v>
      </c>
      <c r="D132" s="115">
        <f t="shared" si="67"/>
        <v>0.13766685052399338</v>
      </c>
      <c r="E132" s="115">
        <f t="shared" si="67"/>
        <v>0.13909341895915522</v>
      </c>
      <c r="F132" s="115">
        <f t="shared" si="67"/>
        <v>0.10941848371251146</v>
      </c>
      <c r="G132" s="115">
        <f t="shared" si="67"/>
        <v>0.31883583959899747</v>
      </c>
      <c r="H132" s="181">
        <f ca="1">_xlfn.XLOOKUP(H$3,'Scenario Analysis'!$G$3:$K$3,'Scenario Analysis'!$G$11:$K$11)</f>
        <v>0.2</v>
      </c>
      <c r="I132" s="181">
        <f ca="1">_xlfn.XLOOKUP(I$3,'Scenario Analysis'!$G$3:$K$3,'Scenario Analysis'!$G$11:$K$11)</f>
        <v>0.2</v>
      </c>
      <c r="J132" s="181">
        <f ca="1">_xlfn.XLOOKUP(J$3,'Scenario Analysis'!$G$3:$K$3,'Scenario Analysis'!$G$11:$K$11)</f>
        <v>0.2</v>
      </c>
      <c r="K132" s="181">
        <f ca="1">_xlfn.XLOOKUP(K$3,'Scenario Analysis'!$G$3:$K$3,'Scenario Analysis'!$G$11:$K$11)</f>
        <v>0.2</v>
      </c>
      <c r="L132" s="181">
        <f ca="1">_xlfn.XLOOKUP(L$3,'Scenario Analysis'!$G$3:$K$3,'Scenario Analysis'!$G$11:$K$11)</f>
        <v>0.2</v>
      </c>
    </row>
    <row r="133" spans="3:12" x14ac:dyDescent="0.3">
      <c r="C133" s="23" t="s">
        <v>222</v>
      </c>
      <c r="D133" s="116">
        <f t="shared" ref="D133:L133" si="68">D121/D24</f>
        <v>0.180338889093869</v>
      </c>
      <c r="E133" s="116">
        <f t="shared" si="68"/>
        <v>0.15843124015755919</v>
      </c>
      <c r="F133" s="116">
        <f t="shared" si="68"/>
        <v>0.1265716464123913</v>
      </c>
      <c r="G133" s="116">
        <f>G121/G24</f>
        <v>0.29291839634669953</v>
      </c>
      <c r="H133" s="116">
        <f t="shared" ca="1" si="68"/>
        <v>0.20974691145465357</v>
      </c>
      <c r="I133" s="116">
        <f t="shared" ca="1" si="68"/>
        <v>0.20943198051869447</v>
      </c>
      <c r="J133" s="116">
        <f t="shared" ca="1" si="68"/>
        <v>0.20910898391104582</v>
      </c>
      <c r="K133" s="116">
        <f t="shared" ca="1" si="68"/>
        <v>0.20869860400887308</v>
      </c>
      <c r="L133" s="116">
        <f t="shared" ca="1" si="68"/>
        <v>0.20820765746186198</v>
      </c>
    </row>
    <row r="134" spans="3:12" x14ac:dyDescent="0.3">
      <c r="C134" s="23"/>
      <c r="D134" s="107"/>
      <c r="E134" s="107"/>
      <c r="F134" s="107"/>
    </row>
    <row r="135" spans="3:12" x14ac:dyDescent="0.3">
      <c r="C135" s="114" t="s">
        <v>223</v>
      </c>
      <c r="D135" s="107"/>
      <c r="E135" s="107"/>
      <c r="F135" s="107"/>
    </row>
    <row r="136" spans="3:12" x14ac:dyDescent="0.3">
      <c r="C136" s="28" t="s">
        <v>202</v>
      </c>
      <c r="D136" s="107"/>
      <c r="E136" s="107"/>
      <c r="F136" s="12">
        <f>0.27*F142</f>
        <v>207123.11550000001</v>
      </c>
      <c r="G136" s="12"/>
      <c r="H136" s="12"/>
      <c r="I136" s="12"/>
      <c r="J136" s="12"/>
      <c r="K136" s="12"/>
    </row>
    <row r="137" spans="3:12" x14ac:dyDescent="0.3">
      <c r="C137" s="28" t="s">
        <v>212</v>
      </c>
      <c r="D137" s="107"/>
      <c r="E137" s="107"/>
      <c r="F137" s="12">
        <f>0.37*F142</f>
        <v>283835.38050000003</v>
      </c>
      <c r="G137" s="12"/>
      <c r="H137" s="12"/>
      <c r="I137" s="12"/>
      <c r="J137" s="12"/>
      <c r="K137" s="12"/>
    </row>
    <row r="138" spans="3:12" x14ac:dyDescent="0.3">
      <c r="C138" s="28" t="s">
        <v>205</v>
      </c>
      <c r="D138" s="107"/>
      <c r="E138" s="107"/>
      <c r="F138" s="12">
        <f>0.13*F142</f>
        <v>99725.944500000012</v>
      </c>
      <c r="G138" s="12"/>
      <c r="H138" s="12"/>
      <c r="I138" s="12"/>
      <c r="J138" s="12"/>
      <c r="K138" s="12"/>
    </row>
    <row r="139" spans="3:12" x14ac:dyDescent="0.3">
      <c r="C139" s="28" t="s">
        <v>206</v>
      </c>
      <c r="D139" s="107"/>
      <c r="E139" s="107"/>
      <c r="F139" s="12">
        <f>0.07*F142</f>
        <v>53698.585500000008</v>
      </c>
      <c r="G139" s="12"/>
      <c r="H139" s="12"/>
      <c r="I139" s="12"/>
      <c r="J139" s="12"/>
      <c r="K139" s="12"/>
    </row>
    <row r="140" spans="3:12" x14ac:dyDescent="0.3">
      <c r="C140" s="28" t="s">
        <v>207</v>
      </c>
      <c r="D140" s="107"/>
      <c r="E140" s="107"/>
      <c r="F140" s="12">
        <f>0.15*F142</f>
        <v>115068.39750000001</v>
      </c>
      <c r="G140" s="12"/>
      <c r="H140" s="12"/>
      <c r="I140" s="12"/>
      <c r="J140" s="12"/>
      <c r="K140" s="12"/>
    </row>
    <row r="141" spans="3:12" x14ac:dyDescent="0.3">
      <c r="C141" s="106" t="s">
        <v>208</v>
      </c>
      <c r="D141" s="108"/>
      <c r="E141" s="108"/>
      <c r="F141" s="101">
        <f>F142-SUM(F136:F140)</f>
        <v>7671.2264999999898</v>
      </c>
      <c r="G141" s="101"/>
      <c r="H141" s="101"/>
      <c r="I141" s="101"/>
      <c r="J141" s="101"/>
      <c r="K141" s="101"/>
    </row>
    <row r="142" spans="3:12" x14ac:dyDescent="0.3">
      <c r="C142" s="23" t="s">
        <v>214</v>
      </c>
      <c r="D142" s="81">
        <f>SUM(D136:D141)</f>
        <v>0</v>
      </c>
      <c r="E142" s="81">
        <f t="shared" ref="E142" si="69">SUM(E136:E141)</f>
        <v>0</v>
      </c>
      <c r="F142" s="81">
        <f>F121</f>
        <v>767122.65</v>
      </c>
      <c r="G142" s="12"/>
      <c r="H142" s="12"/>
      <c r="I142" s="12"/>
      <c r="J142" s="12"/>
      <c r="K142" s="12"/>
    </row>
    <row r="143" spans="3:12" x14ac:dyDescent="0.3">
      <c r="C143" s="23"/>
      <c r="D143" s="10"/>
      <c r="E143" s="10"/>
      <c r="F143" s="10"/>
      <c r="G143" s="12"/>
      <c r="H143" s="12"/>
      <c r="I143" s="12"/>
      <c r="J143" s="12"/>
      <c r="K143" s="12"/>
    </row>
    <row r="144" spans="3:12" x14ac:dyDescent="0.3">
      <c r="C144" s="114" t="s">
        <v>225</v>
      </c>
      <c r="D144" s="34" t="s">
        <v>82</v>
      </c>
      <c r="E144" s="33"/>
      <c r="F144" s="33"/>
      <c r="G144" s="34"/>
      <c r="H144" s="34" t="s">
        <v>83</v>
      </c>
      <c r="I144" s="33"/>
      <c r="J144" s="33"/>
      <c r="K144" s="33"/>
      <c r="L144" s="33"/>
    </row>
    <row r="145" spans="3:14" x14ac:dyDescent="0.3">
      <c r="C145" s="28" t="s">
        <v>203</v>
      </c>
      <c r="D145" s="81">
        <f t="shared" ref="D145:G145" si="70">D21-D118</f>
        <v>376797</v>
      </c>
      <c r="E145" s="81">
        <f t="shared" si="70"/>
        <v>487270</v>
      </c>
      <c r="F145" s="81">
        <f t="shared" si="70"/>
        <v>635822.84</v>
      </c>
      <c r="G145" s="81">
        <f t="shared" si="70"/>
        <v>616871</v>
      </c>
      <c r="H145" s="81">
        <f t="shared" ref="H145:L148" ca="1" si="71">H21-H118</f>
        <v>601632.67070331227</v>
      </c>
      <c r="I145" s="81">
        <f t="shared" ca="1" si="71"/>
        <v>572347.85063675407</v>
      </c>
      <c r="J145" s="81">
        <f t="shared" ca="1" si="71"/>
        <v>595179.03071765369</v>
      </c>
      <c r="K145" s="81">
        <f t="shared" ca="1" si="71"/>
        <v>665783.18059010594</v>
      </c>
      <c r="L145" s="81">
        <f t="shared" ca="1" si="71"/>
        <v>744508.65892676578</v>
      </c>
      <c r="N145" s="149">
        <f ca="1">((L145/G145)^(1/(COUNTA($H$3:$L$3)))-1)</f>
        <v>3.8329229610379434E-2</v>
      </c>
    </row>
    <row r="146" spans="3:14" x14ac:dyDescent="0.3">
      <c r="C146" s="28" t="s">
        <v>509</v>
      </c>
      <c r="D146" s="81">
        <f t="shared" ref="D146:G146" si="72">D22-D119</f>
        <v>1104944</v>
      </c>
      <c r="E146" s="81">
        <f t="shared" si="72"/>
        <v>1442382</v>
      </c>
      <c r="F146" s="81">
        <f t="shared" si="72"/>
        <v>2297099.5099999998</v>
      </c>
      <c r="G146" s="81">
        <f t="shared" si="72"/>
        <v>1675986</v>
      </c>
      <c r="H146" s="81">
        <f t="shared" ca="1" si="71"/>
        <v>1976366.2667567928</v>
      </c>
      <c r="I146" s="81">
        <f t="shared" ca="1" si="71"/>
        <v>1908234.5337955854</v>
      </c>
      <c r="J146" s="81">
        <f t="shared" ca="1" si="71"/>
        <v>2009349.1726689613</v>
      </c>
      <c r="K146" s="81">
        <f t="shared" ca="1" si="71"/>
        <v>2287856.7231978476</v>
      </c>
      <c r="L146" s="81">
        <f t="shared" ca="1" si="71"/>
        <v>2618456.2306557773</v>
      </c>
      <c r="N146" s="149">
        <f ca="1">((L146/G146)^(1/(COUNTA($H$3:$L$3)))-1)</f>
        <v>9.3339368927950916E-2</v>
      </c>
    </row>
    <row r="147" spans="3:14" x14ac:dyDescent="0.3">
      <c r="C147" s="112" t="s">
        <v>204</v>
      </c>
      <c r="D147" s="109">
        <f t="shared" ref="D147:G147" si="73">D23-D120</f>
        <v>1250728</v>
      </c>
      <c r="E147" s="109">
        <f t="shared" si="73"/>
        <v>1430658</v>
      </c>
      <c r="F147" s="109">
        <f t="shared" si="73"/>
        <v>2360733</v>
      </c>
      <c r="G147" s="109">
        <f t="shared" si="73"/>
        <v>1630707</v>
      </c>
      <c r="H147" s="109">
        <f t="shared" ca="1" si="71"/>
        <v>2099414.6499529853</v>
      </c>
      <c r="I147" s="109">
        <f t="shared" ca="1" si="71"/>
        <v>2119563.2712131334</v>
      </c>
      <c r="J147" s="109">
        <f t="shared" ca="1" si="71"/>
        <v>2350766.7382055921</v>
      </c>
      <c r="K147" s="109">
        <f t="shared" ca="1" si="71"/>
        <v>2854009.2282298068</v>
      </c>
      <c r="L147" s="109">
        <f t="shared" ca="1" si="71"/>
        <v>3524144.9127117903</v>
      </c>
      <c r="N147" s="149">
        <f ca="1">((L147/G147)^(1/(COUNTA($H$3:$L$3)))-1)</f>
        <v>0.16663651260478329</v>
      </c>
    </row>
    <row r="148" spans="3:14" x14ac:dyDescent="0.3">
      <c r="C148" s="23" t="s">
        <v>222</v>
      </c>
      <c r="D148" s="81">
        <f>D24-D121</f>
        <v>2732469</v>
      </c>
      <c r="E148" s="81">
        <f>E24-E121</f>
        <v>3360310</v>
      </c>
      <c r="F148" s="81">
        <f>F24-F121</f>
        <v>5293655.3499999996</v>
      </c>
      <c r="G148" s="81">
        <f>G24-G121</f>
        <v>3923564</v>
      </c>
      <c r="H148" s="81">
        <f t="shared" ca="1" si="71"/>
        <v>4677413.5874130893</v>
      </c>
      <c r="I148" s="81">
        <f t="shared" ca="1" si="71"/>
        <v>4600145.6556454729</v>
      </c>
      <c r="J148" s="81">
        <f t="shared" ca="1" si="71"/>
        <v>4955294.9415922072</v>
      </c>
      <c r="K148" s="81">
        <f t="shared" ca="1" si="71"/>
        <v>5807649.1320177605</v>
      </c>
      <c r="L148" s="81">
        <f t="shared" ca="1" si="71"/>
        <v>6887109.8022943325</v>
      </c>
      <c r="N148" s="149">
        <f ca="1">((L148/G148)^(1/(COUNTA($H$3:$L$3)))-1)</f>
        <v>0.11910607476476032</v>
      </c>
    </row>
    <row r="149" spans="3:14" x14ac:dyDescent="0.3">
      <c r="C149" s="23"/>
      <c r="D149" s="81"/>
      <c r="E149" s="81"/>
      <c r="F149" s="81"/>
      <c r="G149" s="81"/>
      <c r="H149" s="81"/>
      <c r="I149" s="81"/>
      <c r="J149" s="81"/>
      <c r="K149" s="81"/>
    </row>
    <row r="150" spans="3:14" x14ac:dyDescent="0.3">
      <c r="C150" s="114" t="s">
        <v>226</v>
      </c>
      <c r="D150" s="34" t="s">
        <v>82</v>
      </c>
      <c r="E150" s="33"/>
      <c r="F150" s="33"/>
      <c r="G150" s="34"/>
      <c r="H150" s="34" t="s">
        <v>83</v>
      </c>
      <c r="I150" s="33"/>
      <c r="J150" s="33"/>
      <c r="K150" s="33"/>
      <c r="L150" s="33"/>
    </row>
    <row r="151" spans="3:14" x14ac:dyDescent="0.3">
      <c r="C151" s="28" t="s">
        <v>203</v>
      </c>
      <c r="D151" s="81">
        <f t="shared" ref="D151:E151" si="74">D112-D124</f>
        <v>461.76102941176475</v>
      </c>
      <c r="E151" s="81">
        <f t="shared" si="74"/>
        <v>558.79587155963304</v>
      </c>
      <c r="F151" s="81">
        <f>F112-F124</f>
        <v>743.13789750254796</v>
      </c>
      <c r="G151" s="81">
        <f t="shared" ref="G151" si="75">G112-G124</f>
        <v>704.19063926940635</v>
      </c>
      <c r="H151" s="81">
        <f t="shared" ref="H151:L154" ca="1" si="76">H112-H124</f>
        <v>681.07825221875157</v>
      </c>
      <c r="I151" s="81">
        <f t="shared" ca="1" si="76"/>
        <v>630.97447147850676</v>
      </c>
      <c r="J151" s="81">
        <f t="shared" ca="1" si="76"/>
        <v>637.77135225903635</v>
      </c>
      <c r="K151" s="81">
        <f t="shared" ca="1" si="76"/>
        <v>697.39718151773764</v>
      </c>
      <c r="L151" s="81">
        <f t="shared" ca="1" si="76"/>
        <v>766.36652801204832</v>
      </c>
      <c r="N151" s="149">
        <f ca="1">((L151/G151)^(1/(COUNTA($H$3:$L$3)))-1)</f>
        <v>1.7066280486721208E-2</v>
      </c>
    </row>
    <row r="152" spans="3:14" x14ac:dyDescent="0.3">
      <c r="C152" s="28" t="s">
        <v>509</v>
      </c>
      <c r="D152" s="81">
        <f t="shared" ref="D152:F153" si="77">D113-D125</f>
        <v>562.88537952114109</v>
      </c>
      <c r="E152" s="81">
        <f t="shared" si="77"/>
        <v>696.80289855072465</v>
      </c>
      <c r="F152" s="81">
        <f t="shared" si="77"/>
        <v>1057.2021989957705</v>
      </c>
      <c r="G152" s="81">
        <f t="shared" ref="G152" si="78">G113-G125</f>
        <v>755.28886885984662</v>
      </c>
      <c r="H152" s="81">
        <f t="shared" ca="1" si="76"/>
        <v>867.43371462918424</v>
      </c>
      <c r="I152" s="81">
        <f t="shared" ca="1" si="76"/>
        <v>803.62062339790305</v>
      </c>
      <c r="J152" s="81">
        <f t="shared" ca="1" si="76"/>
        <v>812.27725503184445</v>
      </c>
      <c r="K152" s="81">
        <f t="shared" ca="1" si="76"/>
        <v>888.21780135413223</v>
      </c>
      <c r="L152" s="81">
        <f t="shared" ca="1" si="76"/>
        <v>976.05842206138675</v>
      </c>
      <c r="N152" s="149">
        <f ca="1">((L152/G152)^(1/(COUNTA($H$3:$L$3)))-1)</f>
        <v>5.2622250045256447E-2</v>
      </c>
    </row>
    <row r="153" spans="3:14" x14ac:dyDescent="0.3">
      <c r="C153" s="112" t="s">
        <v>204</v>
      </c>
      <c r="D153" s="109">
        <f t="shared" si="77"/>
        <v>551.22432789775235</v>
      </c>
      <c r="E153" s="109">
        <f t="shared" si="77"/>
        <v>581.80479869865803</v>
      </c>
      <c r="F153" s="109">
        <f t="shared" si="77"/>
        <v>960.42839707078929</v>
      </c>
      <c r="G153" s="109">
        <f t="shared" ref="G153" si="79">G114-G126</f>
        <v>621.69538696149448</v>
      </c>
      <c r="H153" s="109">
        <f t="shared" ca="1" si="76"/>
        <v>745.98233625823673</v>
      </c>
      <c r="I153" s="109">
        <f t="shared" ca="1" si="76"/>
        <v>691.10386188291113</v>
      </c>
      <c r="J153" s="109">
        <f t="shared" ca="1" si="76"/>
        <v>698.54845872242311</v>
      </c>
      <c r="K153" s="109">
        <f t="shared" ca="1" si="76"/>
        <v>763.85639546366951</v>
      </c>
      <c r="L153" s="109">
        <f t="shared" ca="1" si="76"/>
        <v>839.39824995751223</v>
      </c>
      <c r="N153" s="149">
        <f ca="1">((L153/G153)^(1/(COUNTA($H$3:$L$3)))-1)</f>
        <v>6.1886459306189634E-2</v>
      </c>
    </row>
    <row r="154" spans="3:14" x14ac:dyDescent="0.3">
      <c r="C154" s="23" t="s">
        <v>222</v>
      </c>
      <c r="D154" s="81">
        <f>D115-D127</f>
        <v>541.29734548335978</v>
      </c>
      <c r="E154" s="81">
        <f>E115-E127</f>
        <v>622.16441399740791</v>
      </c>
      <c r="F154" s="81">
        <f>F115-F127</f>
        <v>964.86829619849243</v>
      </c>
      <c r="G154" s="81">
        <f>G115-G127</f>
        <v>686.17768450507174</v>
      </c>
      <c r="H154" s="81">
        <f t="shared" ca="1" si="76"/>
        <v>782.69256396281185</v>
      </c>
      <c r="I154" s="81">
        <f t="shared" ca="1" si="76"/>
        <v>724.59711027692219</v>
      </c>
      <c r="J154" s="81">
        <f t="shared" ca="1" si="76"/>
        <v>731.71593541651055</v>
      </c>
      <c r="K154" s="81">
        <f t="shared" ca="1" si="76"/>
        <v>799.20656911511958</v>
      </c>
      <c r="L154" s="81">
        <f t="shared" ca="1" si="76"/>
        <v>877.05049495745118</v>
      </c>
      <c r="N154" s="149">
        <f ca="1">((L154/G154)^(1/(COUNTA($H$3:$L$3)))-1)</f>
        <v>5.0310244655035863E-2</v>
      </c>
    </row>
    <row r="155" spans="3:14" x14ac:dyDescent="0.3">
      <c r="C155" s="23"/>
      <c r="D155" s="81"/>
      <c r="E155" s="81"/>
      <c r="F155" s="81"/>
      <c r="G155" s="81"/>
      <c r="H155" s="81"/>
      <c r="I155" s="81"/>
      <c r="J155" s="81"/>
      <c r="K155" s="81"/>
    </row>
    <row r="156" spans="3:14" x14ac:dyDescent="0.3">
      <c r="C156" s="114" t="s">
        <v>13</v>
      </c>
      <c r="D156" s="34" t="s">
        <v>82</v>
      </c>
      <c r="E156" s="33"/>
      <c r="F156" s="33"/>
      <c r="G156" s="34"/>
      <c r="H156" s="34" t="s">
        <v>83</v>
      </c>
      <c r="I156" s="33"/>
      <c r="J156" s="33"/>
      <c r="K156" s="33"/>
      <c r="L156" s="33"/>
    </row>
    <row r="157" spans="3:14" x14ac:dyDescent="0.3">
      <c r="C157" s="28" t="s">
        <v>203</v>
      </c>
      <c r="D157" s="10">
        <v>96000</v>
      </c>
      <c r="E157" s="10">
        <v>105000</v>
      </c>
      <c r="F157" s="10">
        <v>96000</v>
      </c>
      <c r="G157" s="10">
        <v>100000</v>
      </c>
      <c r="H157" s="81">
        <f t="shared" ref="H157:L159" ca="1" si="80">H163*H21</f>
        <v>115381.60808008729</v>
      </c>
      <c r="I157" s="81">
        <f t="shared" ca="1" si="80"/>
        <v>109765.34121800764</v>
      </c>
      <c r="J157" s="81">
        <f t="shared" ca="1" si="80"/>
        <v>114143.92369927607</v>
      </c>
      <c r="K157" s="81">
        <f t="shared" ca="1" si="80"/>
        <v>127684.44559262307</v>
      </c>
      <c r="L157" s="81">
        <f t="shared" ca="1" si="80"/>
        <v>142782.4825339003</v>
      </c>
      <c r="N157" s="149">
        <f ca="1">((L157/G157)^(1/(COUNTA($H$3:$L$3)))-1)</f>
        <v>7.3828647224914778E-2</v>
      </c>
    </row>
    <row r="158" spans="3:14" x14ac:dyDescent="0.3">
      <c r="C158" s="28" t="s">
        <v>509</v>
      </c>
      <c r="D158" s="10">
        <v>115000</v>
      </c>
      <c r="E158" s="10">
        <v>114000</v>
      </c>
      <c r="F158" s="10">
        <v>168000</v>
      </c>
      <c r="G158" s="10">
        <v>227000</v>
      </c>
      <c r="H158" s="81">
        <f t="shared" ca="1" si="80"/>
        <v>197636.62667567929</v>
      </c>
      <c r="I158" s="81">
        <f t="shared" ca="1" si="80"/>
        <v>190823.45337955854</v>
      </c>
      <c r="J158" s="81">
        <f t="shared" ca="1" si="80"/>
        <v>200934.91726689614</v>
      </c>
      <c r="K158" s="81">
        <f t="shared" ca="1" si="80"/>
        <v>228785.67231978476</v>
      </c>
      <c r="L158" s="81">
        <f t="shared" ca="1" si="80"/>
        <v>261845.6230655777</v>
      </c>
      <c r="N158" s="149">
        <f ca="1">((L158/G158)^(1/(COUNTA($H$3:$L$3)))-1)</f>
        <v>2.8972794303148586E-2</v>
      </c>
    </row>
    <row r="159" spans="3:14" x14ac:dyDescent="0.3">
      <c r="C159" s="112" t="s">
        <v>204</v>
      </c>
      <c r="D159" s="113">
        <v>159000</v>
      </c>
      <c r="E159" s="113">
        <v>167000</v>
      </c>
      <c r="F159" s="113">
        <v>240000</v>
      </c>
      <c r="G159" s="113">
        <v>249000</v>
      </c>
      <c r="H159" s="109">
        <f t="shared" ca="1" si="80"/>
        <v>262426.83124412317</v>
      </c>
      <c r="I159" s="109">
        <f t="shared" ca="1" si="80"/>
        <v>264945.40890164167</v>
      </c>
      <c r="J159" s="109">
        <f t="shared" ca="1" si="80"/>
        <v>293845.84227569908</v>
      </c>
      <c r="K159" s="109">
        <f t="shared" ca="1" si="80"/>
        <v>356751.1535287259</v>
      </c>
      <c r="L159" s="109">
        <f t="shared" ca="1" si="80"/>
        <v>440518.11408897379</v>
      </c>
      <c r="N159" s="149">
        <f ca="1">((L159/G159)^(1/(COUNTA($H$3:$L$3)))-1)</f>
        <v>0.12086390748819054</v>
      </c>
    </row>
    <row r="160" spans="3:14" x14ac:dyDescent="0.3">
      <c r="C160" s="23" t="s">
        <v>222</v>
      </c>
      <c r="D160" s="81">
        <f t="shared" ref="D160:E160" si="81">SUM(D157:D159)</f>
        <v>370000</v>
      </c>
      <c r="E160" s="81">
        <f t="shared" si="81"/>
        <v>386000</v>
      </c>
      <c r="F160" s="81">
        <f>SUM(F157:F159)</f>
        <v>504000</v>
      </c>
      <c r="G160" s="81">
        <f t="shared" ref="G160" si="82">SUM(G157:G159)</f>
        <v>576000</v>
      </c>
      <c r="H160" s="81">
        <f ca="1">SUM(H157:H159)</f>
        <v>575445.06599988975</v>
      </c>
      <c r="I160" s="81">
        <f ca="1">SUM(I157:I159)</f>
        <v>565534.20349920786</v>
      </c>
      <c r="J160" s="81">
        <f ca="1">SUM(J157:J159)</f>
        <v>608924.6832418713</v>
      </c>
      <c r="K160" s="81">
        <f ca="1">SUM(K157:K159)</f>
        <v>713221.27144113369</v>
      </c>
      <c r="L160" s="81">
        <f ca="1">SUM(L157:L159)</f>
        <v>845146.21968845185</v>
      </c>
      <c r="N160" s="149">
        <f ca="1">((L160/G160)^(1/(COUNTA($H$3:$L$3)))-1)</f>
        <v>7.9696948531995604E-2</v>
      </c>
    </row>
    <row r="161" spans="2:14" x14ac:dyDescent="0.3">
      <c r="C161" s="23"/>
      <c r="D161" s="81"/>
      <c r="E161" s="81"/>
      <c r="F161" s="81"/>
      <c r="G161" s="81"/>
      <c r="H161" s="81"/>
      <c r="I161" s="81"/>
      <c r="J161" s="81"/>
      <c r="K161" s="81"/>
    </row>
    <row r="162" spans="2:14" x14ac:dyDescent="0.3">
      <c r="C162" s="114" t="s">
        <v>230</v>
      </c>
      <c r="D162" s="34" t="s">
        <v>82</v>
      </c>
      <c r="E162" s="33"/>
      <c r="F162" s="33"/>
      <c r="G162" s="34"/>
      <c r="H162" s="34" t="s">
        <v>83</v>
      </c>
      <c r="I162" s="33"/>
      <c r="J162" s="33"/>
      <c r="K162" s="33"/>
      <c r="L162" s="33"/>
    </row>
    <row r="163" spans="2:14" x14ac:dyDescent="0.3">
      <c r="C163" s="28" t="s">
        <v>203</v>
      </c>
      <c r="D163" s="117">
        <f t="shared" ref="D163:G166" si="83">D157/D21</f>
        <v>0.17435366551338982</v>
      </c>
      <c r="E163" s="117">
        <f t="shared" si="83"/>
        <v>0.1540208236153528</v>
      </c>
      <c r="F163" s="117">
        <f t="shared" si="83"/>
        <v>0.11530021895031162</v>
      </c>
      <c r="G163" s="117">
        <f t="shared" si="83"/>
        <v>0.12500703164553006</v>
      </c>
      <c r="H163" s="120">
        <f ca="1">_xlfn.XLOOKUP(H$3,'Scenario Analysis'!$G$3:$K$3,'Scenario Analysis'!$G$12:$K$12)</f>
        <v>0.14000000000000001</v>
      </c>
      <c r="I163" s="120">
        <f ca="1">_xlfn.XLOOKUP(I$3,'Scenario Analysis'!$G$3:$K$3,'Scenario Analysis'!$G$12:$K$12)</f>
        <v>0.14000000000000001</v>
      </c>
      <c r="J163" s="120">
        <f ca="1">_xlfn.XLOOKUP(J$3,'Scenario Analysis'!$G$3:$K$3,'Scenario Analysis'!$G$12:$K$12)</f>
        <v>0.14000000000000001</v>
      </c>
      <c r="K163" s="120">
        <f ca="1">_xlfn.XLOOKUP(K$3,'Scenario Analysis'!$G$3:$K$3,'Scenario Analysis'!$G$12:$K$12)</f>
        <v>0.14000000000000001</v>
      </c>
      <c r="L163" s="120">
        <f ca="1">_xlfn.XLOOKUP(L$3,'Scenario Analysis'!$G$3:$K$3,'Scenario Analysis'!$G$12:$K$12)</f>
        <v>0.14000000000000001</v>
      </c>
    </row>
    <row r="164" spans="2:14" x14ac:dyDescent="0.3">
      <c r="C164" s="28" t="s">
        <v>509</v>
      </c>
      <c r="D164" s="117">
        <f t="shared" si="83"/>
        <v>8.6294096283200714E-2</v>
      </c>
      <c r="E164" s="117">
        <f t="shared" si="83"/>
        <v>6.9116796472860745E-2</v>
      </c>
      <c r="F164" s="117">
        <f t="shared" si="83"/>
        <v>6.5182168641789842E-2</v>
      </c>
      <c r="G164" s="117">
        <f t="shared" si="83"/>
        <v>9.6390658174097671E-2</v>
      </c>
      <c r="H164" s="120">
        <f ca="1">_xlfn.XLOOKUP(H$3,'Scenario Analysis'!$G$3:$K$3,'Scenario Analysis'!$G$13:$K$13)</f>
        <v>0.08</v>
      </c>
      <c r="I164" s="120">
        <f ca="1">_xlfn.XLOOKUP(I$3,'Scenario Analysis'!$G$3:$K$3,'Scenario Analysis'!$G$13:$K$13)</f>
        <v>0.08</v>
      </c>
      <c r="J164" s="120">
        <f ca="1">_xlfn.XLOOKUP(J$3,'Scenario Analysis'!$G$3:$K$3,'Scenario Analysis'!$G$13:$K$13)</f>
        <v>0.08</v>
      </c>
      <c r="K164" s="120">
        <f ca="1">_xlfn.XLOOKUP(K$3,'Scenario Analysis'!$G$3:$K$3,'Scenario Analysis'!$G$13:$K$13)</f>
        <v>0.08</v>
      </c>
      <c r="L164" s="120">
        <f ca="1">_xlfn.XLOOKUP(L$3,'Scenario Analysis'!$G$3:$K$3,'Scenario Analysis'!$G$13:$K$13)</f>
        <v>0.08</v>
      </c>
    </row>
    <row r="165" spans="2:14" x14ac:dyDescent="0.3">
      <c r="C165" s="112" t="s">
        <v>204</v>
      </c>
      <c r="D165" s="118">
        <f t="shared" si="83"/>
        <v>0.10962493105350249</v>
      </c>
      <c r="E165" s="118">
        <f t="shared" si="83"/>
        <v>0.10049319895727775</v>
      </c>
      <c r="F165" s="118">
        <f t="shared" si="83"/>
        <v>9.0539490873807943E-2</v>
      </c>
      <c r="G165" s="118">
        <f t="shared" si="83"/>
        <v>0.10401002506265664</v>
      </c>
      <c r="H165" s="141">
        <f ca="1">_xlfn.XLOOKUP(H$3,'Scenario Analysis'!$G$3:$K$3,'Scenario Analysis'!$G$14:$K$14)</f>
        <v>0.1</v>
      </c>
      <c r="I165" s="141">
        <f ca="1">_xlfn.XLOOKUP(I$3,'Scenario Analysis'!$G$3:$K$3,'Scenario Analysis'!$G$14:$K$14)</f>
        <v>0.1</v>
      </c>
      <c r="J165" s="141">
        <f ca="1">_xlfn.XLOOKUP(J$3,'Scenario Analysis'!$G$3:$K$3,'Scenario Analysis'!$G$14:$K$14)</f>
        <v>0.1</v>
      </c>
      <c r="K165" s="141">
        <f ca="1">_xlfn.XLOOKUP(K$3,'Scenario Analysis'!$G$3:$K$3,'Scenario Analysis'!$G$14:$K$14)</f>
        <v>0.1</v>
      </c>
      <c r="L165" s="141">
        <f ca="1">_xlfn.XLOOKUP(L$3,'Scenario Analysis'!$G$3:$K$3,'Scenario Analysis'!$G$14:$K$14)</f>
        <v>0.1</v>
      </c>
    </row>
    <row r="166" spans="2:14" x14ac:dyDescent="0.3">
      <c r="C166" s="23" t="s">
        <v>222</v>
      </c>
      <c r="D166" s="117">
        <f t="shared" si="83"/>
        <v>0.1109892229464519</v>
      </c>
      <c r="E166" s="117">
        <f t="shared" si="83"/>
        <v>9.6671301546340113E-2</v>
      </c>
      <c r="F166" s="117">
        <f t="shared" si="83"/>
        <v>8.315764081773E-2</v>
      </c>
      <c r="G166" s="117">
        <f t="shared" si="83"/>
        <v>0.1038033287348699</v>
      </c>
      <c r="H166" s="117">
        <f ca="1">H160/H24</f>
        <v>9.7221943750776599E-2</v>
      </c>
      <c r="I166" s="117">
        <f ca="1">I160/I24</f>
        <v>9.7191108429494313E-2</v>
      </c>
      <c r="J166" s="117">
        <f ca="1">J160/J24</f>
        <v>9.7187567466178987E-2</v>
      </c>
      <c r="K166" s="117">
        <f ca="1">K160/K24</f>
        <v>9.7177528275688818E-2</v>
      </c>
      <c r="L166" s="117">
        <f ca="1">L160/L24</f>
        <v>9.7164169627649066E-2</v>
      </c>
    </row>
    <row r="167" spans="2:14" x14ac:dyDescent="0.3">
      <c r="C167" s="23"/>
      <c r="D167" s="107"/>
      <c r="E167" s="107"/>
      <c r="F167" s="107"/>
      <c r="G167" s="12"/>
      <c r="H167" s="12"/>
      <c r="I167" s="12"/>
      <c r="J167" s="12"/>
      <c r="K167" s="12"/>
    </row>
    <row r="168" spans="2:14" x14ac:dyDescent="0.3">
      <c r="C168" s="114" t="s">
        <v>224</v>
      </c>
      <c r="D168" s="34" t="s">
        <v>82</v>
      </c>
      <c r="E168" s="33"/>
      <c r="F168" s="33"/>
      <c r="G168" s="34"/>
      <c r="H168" s="34" t="s">
        <v>83</v>
      </c>
      <c r="I168" s="33"/>
      <c r="J168" s="33"/>
      <c r="K168" s="33"/>
      <c r="L168" s="33"/>
    </row>
    <row r="169" spans="2:14" x14ac:dyDescent="0.3">
      <c r="C169" s="28" t="s">
        <v>203</v>
      </c>
      <c r="D169" s="10">
        <v>39000</v>
      </c>
      <c r="E169" s="10">
        <v>30000</v>
      </c>
      <c r="F169" s="10">
        <v>34000</v>
      </c>
      <c r="G169" s="10">
        <v>38000</v>
      </c>
      <c r="H169" s="10">
        <f t="shared" ref="H169:L169" si="84">G169</f>
        <v>38000</v>
      </c>
      <c r="I169" s="10">
        <f t="shared" si="84"/>
        <v>38000</v>
      </c>
      <c r="J169" s="10">
        <f t="shared" si="84"/>
        <v>38000</v>
      </c>
      <c r="K169" s="10">
        <f t="shared" si="84"/>
        <v>38000</v>
      </c>
      <c r="L169" s="10">
        <f t="shared" si="84"/>
        <v>38000</v>
      </c>
      <c r="N169" s="149"/>
    </row>
    <row r="170" spans="2:14" x14ac:dyDescent="0.3">
      <c r="C170" s="28" t="s">
        <v>509</v>
      </c>
      <c r="D170" s="10">
        <v>34000</v>
      </c>
      <c r="E170" s="10">
        <v>49000</v>
      </c>
      <c r="F170" s="10">
        <v>51000</v>
      </c>
      <c r="G170" s="10">
        <v>57000</v>
      </c>
      <c r="H170" s="10">
        <f t="shared" ref="H170:L171" si="85">G170</f>
        <v>57000</v>
      </c>
      <c r="I170" s="10">
        <f t="shared" si="85"/>
        <v>57000</v>
      </c>
      <c r="J170" s="10">
        <f t="shared" si="85"/>
        <v>57000</v>
      </c>
      <c r="K170" s="10">
        <f t="shared" si="85"/>
        <v>57000</v>
      </c>
      <c r="L170" s="10">
        <f t="shared" si="85"/>
        <v>57000</v>
      </c>
      <c r="N170" s="149"/>
    </row>
    <row r="171" spans="2:14" x14ac:dyDescent="0.3">
      <c r="C171" s="112" t="s">
        <v>204</v>
      </c>
      <c r="D171" s="113">
        <v>62000</v>
      </c>
      <c r="E171" s="113">
        <v>80000</v>
      </c>
      <c r="F171" s="113">
        <v>56000</v>
      </c>
      <c r="G171" s="113">
        <v>60000</v>
      </c>
      <c r="H171" s="113">
        <f t="shared" si="85"/>
        <v>60000</v>
      </c>
      <c r="I171" s="113">
        <f t="shared" si="85"/>
        <v>60000</v>
      </c>
      <c r="J171" s="113">
        <f t="shared" si="85"/>
        <v>60000</v>
      </c>
      <c r="K171" s="113">
        <f t="shared" si="85"/>
        <v>60000</v>
      </c>
      <c r="L171" s="113">
        <f t="shared" si="85"/>
        <v>60000</v>
      </c>
      <c r="N171" s="149"/>
    </row>
    <row r="172" spans="2:14" x14ac:dyDescent="0.3">
      <c r="C172" s="23" t="s">
        <v>214</v>
      </c>
      <c r="D172" s="12">
        <f t="shared" ref="D172:E172" si="86">SUM(D169:D171)</f>
        <v>135000</v>
      </c>
      <c r="E172" s="12">
        <f t="shared" si="86"/>
        <v>159000</v>
      </c>
      <c r="F172" s="12">
        <f>SUM(F169:F171)</f>
        <v>141000</v>
      </c>
      <c r="G172" s="12">
        <f t="shared" ref="G172:K172" si="87">SUM(G169:G171)</f>
        <v>155000</v>
      </c>
      <c r="H172" s="12">
        <f t="shared" si="87"/>
        <v>155000</v>
      </c>
      <c r="I172" s="12">
        <f t="shared" si="87"/>
        <v>155000</v>
      </c>
      <c r="J172" s="12">
        <f t="shared" si="87"/>
        <v>155000</v>
      </c>
      <c r="K172" s="12">
        <f t="shared" si="87"/>
        <v>155000</v>
      </c>
      <c r="L172" s="12">
        <f t="shared" ref="L172" si="88">SUM(L169:L171)</f>
        <v>155000</v>
      </c>
      <c r="N172" s="149"/>
    </row>
    <row r="173" spans="2:14" x14ac:dyDescent="0.3">
      <c r="C173" s="23"/>
      <c r="D173" s="12"/>
      <c r="E173" s="12"/>
      <c r="F173" s="12"/>
      <c r="G173" s="12"/>
      <c r="H173" s="12"/>
      <c r="I173" s="12"/>
      <c r="J173" s="12"/>
      <c r="K173" s="12"/>
    </row>
    <row r="174" spans="2:14" x14ac:dyDescent="0.3">
      <c r="C174" s="23"/>
      <c r="D174" s="12"/>
      <c r="E174" s="12"/>
      <c r="F174" s="12"/>
      <c r="G174" s="12"/>
      <c r="H174" s="12"/>
      <c r="I174" s="12"/>
      <c r="J174" s="12"/>
      <c r="L174" s="142" t="str">
        <f>UPPER("Active scenario: "&amp;'Scenario Analysis'!$D$3)</f>
        <v>ACTIVE SCENARIO: BASE CASE</v>
      </c>
    </row>
    <row r="176" spans="2:14" x14ac:dyDescent="0.3">
      <c r="B176" t="s">
        <v>7</v>
      </c>
      <c r="C176" s="56" t="s">
        <v>211</v>
      </c>
      <c r="D176" s="34" t="s">
        <v>82</v>
      </c>
      <c r="E176" s="33"/>
      <c r="F176" s="33"/>
      <c r="G176" s="34"/>
      <c r="H176" s="34" t="s">
        <v>83</v>
      </c>
      <c r="I176" s="33"/>
      <c r="J176" s="33"/>
      <c r="K176" s="33"/>
      <c r="L176" s="33"/>
    </row>
    <row r="177" spans="3:14" x14ac:dyDescent="0.3">
      <c r="C177" s="114" t="s">
        <v>233</v>
      </c>
      <c r="D177" s="81">
        <f>D180+D199</f>
        <v>567685</v>
      </c>
      <c r="E177" s="81">
        <f t="shared" ref="E177:G177" si="89">E180+E199</f>
        <v>596287</v>
      </c>
      <c r="F177" s="81">
        <f t="shared" si="89"/>
        <v>1041258</v>
      </c>
      <c r="G177" s="81">
        <f t="shared" si="89"/>
        <v>1032271</v>
      </c>
      <c r="H177" s="81">
        <f ca="1">H180+H199</f>
        <v>993995.66257777775</v>
      </c>
      <c r="I177" s="81">
        <f ca="1">I180+I199</f>
        <v>940112.92738026672</v>
      </c>
      <c r="J177" s="81">
        <f ca="1">J180+J199</f>
        <v>943964.82818447368</v>
      </c>
      <c r="K177" s="81">
        <f ca="1">K180+K199</f>
        <v>1011523.1853608465</v>
      </c>
      <c r="L177" s="81">
        <f ca="1">L180+L199</f>
        <v>1100918.0912571975</v>
      </c>
      <c r="N177" s="149">
        <f ca="1">((L177/G177)^(1/(COUNTA($H$3:$L$3)))-1)</f>
        <v>1.2959907123096137E-2</v>
      </c>
    </row>
    <row r="178" spans="3:14" x14ac:dyDescent="0.3">
      <c r="C178" s="23"/>
      <c r="D178" s="81"/>
      <c r="E178" s="81"/>
      <c r="F178" s="81"/>
    </row>
    <row r="179" spans="3:14" x14ac:dyDescent="0.3">
      <c r="C179" s="114" t="s">
        <v>227</v>
      </c>
    </row>
    <row r="180" spans="3:14" x14ac:dyDescent="0.3">
      <c r="C180" s="28" t="s">
        <v>8</v>
      </c>
      <c r="D180" s="50">
        <v>91751</v>
      </c>
      <c r="E180" s="50">
        <v>87169</v>
      </c>
      <c r="F180" s="50">
        <v>171900</v>
      </c>
      <c r="G180" s="50">
        <v>167989</v>
      </c>
      <c r="H180" s="12">
        <f ca="1">H181*H182</f>
        <v>174023.13280000002</v>
      </c>
      <c r="I180" s="12">
        <f ca="1">I181*I182</f>
        <v>180461.9887136</v>
      </c>
      <c r="J180" s="12">
        <f ca="1">J181*J182</f>
        <v>176130.90098447361</v>
      </c>
      <c r="K180" s="12">
        <f ca="1">K181*K182</f>
        <v>171903.75936084625</v>
      </c>
      <c r="L180" s="12">
        <f ca="1">L181*L182</f>
        <v>178264.19845719755</v>
      </c>
      <c r="N180" s="149">
        <f ca="1">((L180/G180)^(1/(COUNTA($H$3:$L$3)))-1)</f>
        <v>1.1944413472880555E-2</v>
      </c>
    </row>
    <row r="181" spans="3:14" x14ac:dyDescent="0.3">
      <c r="C181" s="28" t="s">
        <v>228</v>
      </c>
      <c r="D181" s="4">
        <v>15</v>
      </c>
      <c r="E181" s="4">
        <v>15</v>
      </c>
      <c r="F181" s="4">
        <v>16</v>
      </c>
      <c r="G181" s="4">
        <v>16</v>
      </c>
      <c r="H181" s="10">
        <v>16</v>
      </c>
      <c r="I181" s="10">
        <v>16</v>
      </c>
      <c r="J181" s="10">
        <v>16</v>
      </c>
      <c r="K181" s="10">
        <v>16</v>
      </c>
      <c r="L181" s="10">
        <v>17</v>
      </c>
    </row>
    <row r="182" spans="3:14" x14ac:dyDescent="0.3">
      <c r="C182" s="28" t="s">
        <v>229</v>
      </c>
      <c r="D182" s="84">
        <f t="shared" ref="D182:E182" si="90">D180/D181</f>
        <v>6116.7333333333336</v>
      </c>
      <c r="E182" s="84">
        <f t="shared" si="90"/>
        <v>5811.2666666666664</v>
      </c>
      <c r="F182" s="84">
        <f>F180/F181</f>
        <v>10743.75</v>
      </c>
      <c r="G182" s="84">
        <f>G180/G181</f>
        <v>10499.3125</v>
      </c>
      <c r="H182" s="81">
        <f ca="1">H183*H185</f>
        <v>10876.445800000001</v>
      </c>
      <c r="I182" s="81">
        <f ca="1">I183*I185</f>
        <v>11278.8742946</v>
      </c>
      <c r="J182" s="81">
        <f ca="1">J183*J185</f>
        <v>11008.181311529601</v>
      </c>
      <c r="K182" s="81">
        <f ca="1">K183*K185</f>
        <v>10743.984960052891</v>
      </c>
      <c r="L182" s="81">
        <f ca="1">L183*L185</f>
        <v>10486.12932101162</v>
      </c>
      <c r="N182" s="149">
        <f ca="1">((L182/G182)^(1/(COUNTA($H$3:$L$3)))-1)</f>
        <v>-2.5125083613819488E-4</v>
      </c>
    </row>
    <row r="183" spans="3:14" x14ac:dyDescent="0.3">
      <c r="C183" s="28" t="s">
        <v>386</v>
      </c>
      <c r="D183" s="10">
        <f>AVERAGE(796,1394,1236,713,462,506,474,435,411,458,466,517)</f>
        <v>655.66666666666663</v>
      </c>
      <c r="E183" s="10">
        <f>AVERAGE(669,710,606,604,598,604,610,626,797,721,786,689)</f>
        <v>668.33333333333337</v>
      </c>
      <c r="F183" s="10">
        <f>AVERAGE(1343,1279,1253,1119,1234,1466,1512,1477,1827,2353,1873,1275)</f>
        <v>1500.9166666666667</v>
      </c>
      <c r="G183" s="10">
        <v>1149.73</v>
      </c>
      <c r="H183" s="81">
        <f ca="1">G183*(1+H184)</f>
        <v>1264.7030000000002</v>
      </c>
      <c r="I183" s="81">
        <f ca="1">H183*(1+I184)</f>
        <v>1311.4970110000002</v>
      </c>
      <c r="J183" s="81">
        <f ca="1">I183*(1+J184)</f>
        <v>1280.0210827360002</v>
      </c>
      <c r="K183" s="81">
        <f ca="1">J183*(1+K184)</f>
        <v>1249.3005767503362</v>
      </c>
      <c r="L183" s="81">
        <f ca="1">K183*(1+L184)</f>
        <v>1219.3173629083281</v>
      </c>
      <c r="N183" s="149">
        <f ca="1">((L183/G183)^(1/(COUNTA($H$3:$L$3)))-1)</f>
        <v>1.1822141859526347E-2</v>
      </c>
    </row>
    <row r="184" spans="3:14" x14ac:dyDescent="0.3">
      <c r="C184" s="182" t="s">
        <v>388</v>
      </c>
      <c r="D184" s="10"/>
      <c r="E184" s="117">
        <f>E183/D183-1</f>
        <v>1.9318759532282792E-2</v>
      </c>
      <c r="F184" s="117">
        <f>F183/E183-1</f>
        <v>1.2457605985037405</v>
      </c>
      <c r="G184" s="117">
        <f>G183/F183-1</f>
        <v>-0.23398145577702523</v>
      </c>
      <c r="H184" s="120">
        <f ca="1">_xlfn.XLOOKUP(H$3,'Scenario Analysis'!$G$3:$K$3,'Scenario Analysis'!$G$18:$K$18)</f>
        <v>0.1</v>
      </c>
      <c r="I184" s="120">
        <f ca="1">_xlfn.XLOOKUP(I$3,'Scenario Analysis'!$G$3:$K$3,'Scenario Analysis'!$G$18:$K$18)</f>
        <v>3.6999999999999998E-2</v>
      </c>
      <c r="J184" s="120">
        <f ca="1">_xlfn.XLOOKUP(J$3,'Scenario Analysis'!$G$3:$K$3,'Scenario Analysis'!$G$18:$K$18)</f>
        <v>-2.4E-2</v>
      </c>
      <c r="K184" s="120">
        <f ca="1">_xlfn.XLOOKUP(K$3,'Scenario Analysis'!$G$3:$K$3,'Scenario Analysis'!$G$18:$K$18)</f>
        <v>-2.4E-2</v>
      </c>
      <c r="L184" s="120">
        <f ca="1">_xlfn.XLOOKUP(L$3,'Scenario Analysis'!$G$3:$K$3,'Scenario Analysis'!$G$18:$K$18)</f>
        <v>-2.4E-2</v>
      </c>
    </row>
    <row r="185" spans="3:14" x14ac:dyDescent="0.3">
      <c r="C185" s="28" t="s">
        <v>387</v>
      </c>
      <c r="D185" s="130">
        <f>D182/D183</f>
        <v>9.3290289781392985</v>
      </c>
      <c r="E185" s="130">
        <f>E182/E183</f>
        <v>8.6951620947630914</v>
      </c>
      <c r="F185" s="130">
        <f>F182/F183</f>
        <v>7.1581255899172724</v>
      </c>
      <c r="G185" s="130">
        <f>G182/G183</f>
        <v>9.1319809868403876</v>
      </c>
      <c r="H185" s="129">
        <v>8.6</v>
      </c>
      <c r="I185" s="129">
        <v>8.6</v>
      </c>
      <c r="J185" s="129">
        <v>8.6</v>
      </c>
      <c r="K185" s="129">
        <v>8.6</v>
      </c>
      <c r="L185" s="129">
        <v>8.6</v>
      </c>
    </row>
    <row r="186" spans="3:14" x14ac:dyDescent="0.3">
      <c r="C186" s="28"/>
      <c r="D186" s="130"/>
      <c r="E186" s="130"/>
      <c r="F186" s="130"/>
      <c r="G186" s="129"/>
      <c r="H186" s="129"/>
      <c r="I186" s="129"/>
      <c r="J186" s="129"/>
      <c r="K186" s="129"/>
    </row>
    <row r="187" spans="3:14" x14ac:dyDescent="0.3">
      <c r="C187" s="23" t="s">
        <v>399</v>
      </c>
      <c r="D187" s="130"/>
      <c r="E187" s="130"/>
      <c r="F187" s="130"/>
      <c r="G187" s="129"/>
      <c r="H187" s="129"/>
      <c r="I187" s="129"/>
      <c r="J187" s="129"/>
      <c r="K187" s="129"/>
    </row>
    <row r="188" spans="3:14" x14ac:dyDescent="0.3">
      <c r="C188" s="28" t="s">
        <v>401</v>
      </c>
      <c r="D188" s="64">
        <f>328367/915892</f>
        <v>0.35852152873919635</v>
      </c>
      <c r="E188" s="64">
        <f>-37762/540786</f>
        <v>-6.9827991109237292E-2</v>
      </c>
      <c r="F188" s="64">
        <f>939615/1562873</f>
        <v>0.60121007912991009</v>
      </c>
      <c r="G188" s="64">
        <f>809894/1341222</f>
        <v>0.60384783428843247</v>
      </c>
      <c r="H188" s="117"/>
      <c r="I188" s="117"/>
      <c r="J188" s="117"/>
      <c r="K188" s="117"/>
    </row>
    <row r="189" spans="3:14" x14ac:dyDescent="0.3">
      <c r="C189" s="28" t="s">
        <v>402</v>
      </c>
      <c r="D189" s="64">
        <f>2145/21711</f>
        <v>9.8797844410667399E-2</v>
      </c>
      <c r="E189" s="64">
        <f>-1600/25341</f>
        <v>-6.3138786946055805E-2</v>
      </c>
      <c r="F189" s="64">
        <f>22406/58344</f>
        <v>0.38403263403263405</v>
      </c>
      <c r="G189" s="64">
        <f>21990/45468</f>
        <v>0.48363684349432567</v>
      </c>
      <c r="H189" s="117"/>
      <c r="I189" s="117"/>
      <c r="J189" s="117"/>
      <c r="K189" s="117"/>
    </row>
    <row r="190" spans="3:14" x14ac:dyDescent="0.3">
      <c r="C190" s="28" t="s">
        <v>403</v>
      </c>
      <c r="D190" s="64">
        <f>397510/747356</f>
        <v>0.53188841730045655</v>
      </c>
      <c r="E190" s="64">
        <f>247744/619532</f>
        <v>0.39988894843204226</v>
      </c>
      <c r="F190" s="64">
        <f>844860/1443351</f>
        <v>0.58534618398435312</v>
      </c>
      <c r="G190" s="64">
        <f>940769/1520393</f>
        <v>0.61876698985065048</v>
      </c>
      <c r="H190" s="117"/>
      <c r="I190" s="117"/>
      <c r="J190" s="117"/>
      <c r="K190" s="117"/>
    </row>
    <row r="191" spans="3:14" x14ac:dyDescent="0.3">
      <c r="C191" s="28" t="s">
        <v>436</v>
      </c>
      <c r="D191" s="64">
        <f>239124/874099</f>
        <v>0.27356626652129795</v>
      </c>
      <c r="E191" s="64">
        <f>35894/811217</f>
        <v>4.4247100344297519E-2</v>
      </c>
      <c r="F191" s="64">
        <f>840420/1926551</f>
        <v>0.43623034116408027</v>
      </c>
      <c r="G191" s="64">
        <f>1328625/2671706</f>
        <v>0.49729461250601675</v>
      </c>
      <c r="H191" s="117"/>
      <c r="I191" s="117"/>
      <c r="J191" s="117"/>
      <c r="K191" s="117"/>
    </row>
    <row r="192" spans="3:14" x14ac:dyDescent="0.3">
      <c r="C192" s="28" t="s">
        <v>400</v>
      </c>
      <c r="D192" s="64">
        <f>536699/1221187</f>
        <v>0.43948961133716624</v>
      </c>
      <c r="E192" s="64">
        <f>27233/749381</f>
        <v>3.6340659824575218E-2</v>
      </c>
      <c r="F192" s="64">
        <f>484330/1430208</f>
        <v>0.33864305052132276</v>
      </c>
      <c r="G192" s="64">
        <f>776.11/1802.18</f>
        <v>0.43065065642721589</v>
      </c>
      <c r="H192" s="117"/>
      <c r="I192" s="117"/>
      <c r="J192" s="117"/>
      <c r="K192" s="117"/>
    </row>
    <row r="193" spans="3:14" x14ac:dyDescent="0.3">
      <c r="C193" s="46" t="s">
        <v>404</v>
      </c>
      <c r="D193" s="183">
        <f>AVERAGE(D188:D192)</f>
        <v>0.34045273366175688</v>
      </c>
      <c r="E193" s="183">
        <f t="shared" ref="E193:G193" si="91">AVERAGE(E188:E192)</f>
        <v>6.9501986109124378E-2</v>
      </c>
      <c r="F193" s="183">
        <f t="shared" si="91"/>
        <v>0.46909245776646002</v>
      </c>
      <c r="G193" s="183">
        <f t="shared" si="91"/>
        <v>0.52683938731332824</v>
      </c>
      <c r="H193" s="185">
        <f ca="1">_xlfn.XLOOKUP(H$3,'Scenario Analysis'!$G$3:$K$3,'Scenario Analysis'!$G$15:$K$15)</f>
        <v>0.45</v>
      </c>
      <c r="I193" s="185">
        <f ca="1">_xlfn.XLOOKUP(I$3,'Scenario Analysis'!$G$3:$K$3,'Scenario Analysis'!$G$15:$K$15)</f>
        <v>0.45</v>
      </c>
      <c r="J193" s="185">
        <f ca="1">_xlfn.XLOOKUP(J$3,'Scenario Analysis'!$G$3:$K$3,'Scenario Analysis'!$G$15:$K$15)</f>
        <v>0.45</v>
      </c>
      <c r="K193" s="185">
        <f ca="1">_xlfn.XLOOKUP(K$3,'Scenario Analysis'!$G$3:$K$3,'Scenario Analysis'!$G$15:$K$15)</f>
        <v>0.45</v>
      </c>
      <c r="L193" s="185">
        <f ca="1">_xlfn.XLOOKUP(L$3,'Scenario Analysis'!$G$3:$K$3,'Scenario Analysis'!$G$15:$K$15)</f>
        <v>0.45</v>
      </c>
    </row>
    <row r="194" spans="3:14" x14ac:dyDescent="0.3">
      <c r="C194" s="46"/>
      <c r="D194" s="183"/>
      <c r="E194" s="183"/>
      <c r="F194" s="183"/>
      <c r="G194" s="185"/>
      <c r="H194" s="185"/>
      <c r="I194" s="185"/>
      <c r="J194" s="185"/>
      <c r="K194" s="185"/>
      <c r="L194" s="185"/>
    </row>
    <row r="195" spans="3:14" x14ac:dyDescent="0.3">
      <c r="C195" s="23" t="s">
        <v>396</v>
      </c>
      <c r="D195" s="183"/>
      <c r="E195" s="183"/>
      <c r="F195" s="183"/>
      <c r="G195" s="186"/>
      <c r="H195" s="186">
        <f ca="1">H180-H196</f>
        <v>95712.723040000012</v>
      </c>
      <c r="I195" s="186">
        <f ca="1">I180-I196</f>
        <v>99254.093792479995</v>
      </c>
      <c r="J195" s="186">
        <f ca="1">J180-J196</f>
        <v>96871.995541460492</v>
      </c>
      <c r="K195" s="186">
        <f ca="1">K180-K196</f>
        <v>94547.06764846544</v>
      </c>
      <c r="L195" s="186">
        <f ca="1">L180-L196</f>
        <v>98045.309151458656</v>
      </c>
    </row>
    <row r="196" spans="3:14" x14ac:dyDescent="0.3">
      <c r="C196" s="23" t="s">
        <v>9</v>
      </c>
      <c r="D196" s="183"/>
      <c r="E196" s="183"/>
      <c r="F196" s="183"/>
      <c r="G196" s="186"/>
      <c r="H196" s="186">
        <f ca="1">H193*H180</f>
        <v>78310.40976000001</v>
      </c>
      <c r="I196" s="186">
        <f ca="1">I193*I180</f>
        <v>81207.894921120009</v>
      </c>
      <c r="J196" s="186">
        <f ca="1">J193*J180</f>
        <v>79258.905443013122</v>
      </c>
      <c r="K196" s="186">
        <f ca="1">K193*K180</f>
        <v>77356.691712380809</v>
      </c>
      <c r="L196" s="186">
        <f ca="1">L193*L180</f>
        <v>80218.889305738892</v>
      </c>
    </row>
    <row r="197" spans="3:14" x14ac:dyDescent="0.3">
      <c r="C197" s="105"/>
      <c r="D197" s="117"/>
      <c r="E197" s="117"/>
      <c r="F197" s="117"/>
      <c r="G197" s="117"/>
      <c r="H197" s="117"/>
      <c r="I197" s="117"/>
      <c r="J197" s="117"/>
      <c r="K197" s="117"/>
    </row>
    <row r="198" spans="3:14" x14ac:dyDescent="0.3">
      <c r="C198" s="114" t="s">
        <v>209</v>
      </c>
      <c r="G198" s="12"/>
      <c r="H198" s="12"/>
      <c r="I198" s="12"/>
      <c r="J198" s="12"/>
      <c r="K198" s="12"/>
    </row>
    <row r="199" spans="3:14" x14ac:dyDescent="0.3">
      <c r="C199" s="28" t="s">
        <v>8</v>
      </c>
      <c r="D199" s="50">
        <v>475934</v>
      </c>
      <c r="E199" s="50">
        <v>509118</v>
      </c>
      <c r="F199" s="50">
        <v>869358</v>
      </c>
      <c r="G199" s="50">
        <v>864282</v>
      </c>
      <c r="H199" s="12">
        <f ca="1">H203*H202</f>
        <v>819972.52977777773</v>
      </c>
      <c r="I199" s="12">
        <f ca="1">I203*I202</f>
        <v>759650.93866666674</v>
      </c>
      <c r="J199" s="12">
        <f ca="1">J203*J202</f>
        <v>767833.92720000003</v>
      </c>
      <c r="K199" s="12">
        <f ca="1">K203*K202</f>
        <v>839619.42600000021</v>
      </c>
      <c r="L199" s="12">
        <f ca="1">L203*L202</f>
        <v>922653.89280000003</v>
      </c>
      <c r="N199" s="149">
        <f ca="1">((L199/G199)^(1/(COUNTA($H$3:$L$3)))-1)</f>
        <v>1.3156814951929663E-2</v>
      </c>
    </row>
    <row r="200" spans="3:14" x14ac:dyDescent="0.3">
      <c r="C200" s="28" t="s">
        <v>389</v>
      </c>
      <c r="D200" s="50">
        <v>800</v>
      </c>
      <c r="E200" s="50">
        <v>800</v>
      </c>
      <c r="F200" s="50">
        <v>800</v>
      </c>
      <c r="G200" s="50">
        <v>800</v>
      </c>
      <c r="H200" s="10">
        <f t="shared" ref="H200:L200" si="92">G200</f>
        <v>800</v>
      </c>
      <c r="I200" s="10">
        <f t="shared" si="92"/>
        <v>800</v>
      </c>
      <c r="J200" s="10">
        <f t="shared" si="92"/>
        <v>800</v>
      </c>
      <c r="K200" s="10">
        <f t="shared" si="92"/>
        <v>800</v>
      </c>
      <c r="L200" s="10">
        <f t="shared" si="92"/>
        <v>800</v>
      </c>
    </row>
    <row r="201" spans="3:14" x14ac:dyDescent="0.3">
      <c r="C201" s="28" t="s">
        <v>391</v>
      </c>
      <c r="D201" s="175">
        <v>8.0579999999999998</v>
      </c>
      <c r="E201" s="50"/>
      <c r="F201" s="50"/>
      <c r="G201" s="50"/>
      <c r="H201" s="10"/>
      <c r="I201" s="10"/>
      <c r="J201" s="10"/>
      <c r="K201" s="10"/>
      <c r="L201" s="10"/>
    </row>
    <row r="202" spans="3:14" x14ac:dyDescent="0.3">
      <c r="C202" s="28" t="s">
        <v>390</v>
      </c>
      <c r="D202" s="84">
        <f>D200*$D$201</f>
        <v>6446.4</v>
      </c>
      <c r="E202" s="84">
        <f t="shared" ref="E202:K202" si="93">E200*$D$201</f>
        <v>6446.4</v>
      </c>
      <c r="F202" s="84">
        <f t="shared" si="93"/>
        <v>6446.4</v>
      </c>
      <c r="G202" s="84">
        <f t="shared" ref="G202" si="94">G200*$D$201</f>
        <v>6446.4</v>
      </c>
      <c r="H202" s="84">
        <f t="shared" si="93"/>
        <v>6446.4</v>
      </c>
      <c r="I202" s="84">
        <f t="shared" si="93"/>
        <v>6446.4</v>
      </c>
      <c r="J202" s="84">
        <f t="shared" si="93"/>
        <v>6446.4</v>
      </c>
      <c r="K202" s="84">
        <f t="shared" si="93"/>
        <v>6446.4</v>
      </c>
      <c r="L202" s="84">
        <f t="shared" ref="L202" si="95">L200*$D$201</f>
        <v>6446.4</v>
      </c>
    </row>
    <row r="203" spans="3:14" x14ac:dyDescent="0.3">
      <c r="C203" s="28" t="s">
        <v>392</v>
      </c>
      <c r="D203" s="178">
        <f>D199/D202</f>
        <v>73.829424174733191</v>
      </c>
      <c r="E203" s="178">
        <f t="shared" ref="E203:F203" si="96">E199/E202</f>
        <v>78.977103499627702</v>
      </c>
      <c r="F203" s="178">
        <f t="shared" si="96"/>
        <v>134.85945644080417</v>
      </c>
      <c r="G203" s="178">
        <f t="shared" ref="G203" si="97">G199/G202</f>
        <v>134.07204020848846</v>
      </c>
      <c r="H203" s="178">
        <f ca="1">H208*H220</f>
        <v>127.19851851851853</v>
      </c>
      <c r="I203" s="178">
        <f ca="1">I208*I220</f>
        <v>117.84111111111113</v>
      </c>
      <c r="J203" s="178">
        <f ca="1">J208*J220</f>
        <v>119.11050000000002</v>
      </c>
      <c r="K203" s="178">
        <f ca="1">K208*K220</f>
        <v>130.24625000000003</v>
      </c>
      <c r="L203" s="178">
        <f ca="1">L208*L220</f>
        <v>143.12700000000001</v>
      </c>
      <c r="N203" s="149">
        <f ca="1">((L203/G203)^(1/(COUNTA($H$3:$L$3)))-1)</f>
        <v>1.3156814951929663E-2</v>
      </c>
    </row>
    <row r="204" spans="3:14" x14ac:dyDescent="0.3">
      <c r="C204" s="28" t="s">
        <v>394</v>
      </c>
      <c r="D204" s="178">
        <f>D203-D220</f>
        <v>31.86942417473319</v>
      </c>
      <c r="E204" s="178">
        <f>E203-E220</f>
        <v>8.1171034996277029</v>
      </c>
      <c r="F204" s="178">
        <f>F203-F220</f>
        <v>33.929456440804159</v>
      </c>
      <c r="G204" s="178">
        <f>G203-G220</f>
        <v>51.07204020848846</v>
      </c>
      <c r="H204" s="202">
        <f ca="1">_xlfn.XLOOKUP(H$3,'Scenario Analysis'!$G$3:$K$3,'Scenario Analysis'!$G$16:$K$16)</f>
        <v>37</v>
      </c>
      <c r="I204" s="202">
        <f ca="1">_xlfn.XLOOKUP(I$3,'Scenario Analysis'!$G$3:$K$3,'Scenario Analysis'!$G$16:$K$16)</f>
        <v>37</v>
      </c>
      <c r="J204" s="202">
        <f ca="1">_xlfn.XLOOKUP(J$3,'Scenario Analysis'!$G$3:$K$3,'Scenario Analysis'!$G$16:$K$16)</f>
        <v>37</v>
      </c>
      <c r="K204" s="202">
        <f ca="1">_xlfn.XLOOKUP(K$3,'Scenario Analysis'!$G$3:$K$3,'Scenario Analysis'!$G$16:$K$16)</f>
        <v>37</v>
      </c>
      <c r="L204" s="202">
        <f ca="1">_xlfn.XLOOKUP(L$3,'Scenario Analysis'!$G$3:$K$3,'Scenario Analysis'!$G$16:$K$16)</f>
        <v>37</v>
      </c>
      <c r="N204" s="149">
        <f ca="1">((L204/G204)^(1/(COUNTA($H$3:$L$3)))-1)</f>
        <v>-6.2429998158887834E-2</v>
      </c>
    </row>
    <row r="205" spans="3:14" x14ac:dyDescent="0.3">
      <c r="C205" s="28" t="s">
        <v>397</v>
      </c>
      <c r="D205" s="22">
        <f>D204/D203</f>
        <v>0.43166291124399603</v>
      </c>
      <c r="E205" s="22">
        <f t="shared" ref="E205:F205" si="98">E204/E203</f>
        <v>0.10277793360281903</v>
      </c>
      <c r="F205" s="22">
        <f t="shared" si="98"/>
        <v>0.25159122938996353</v>
      </c>
      <c r="G205" s="22">
        <f t="shared" ref="G205" si="99">G204/G203</f>
        <v>0.38092983540094555</v>
      </c>
      <c r="H205" s="22">
        <f ca="1">H204/H203</f>
        <v>0.29088389103064327</v>
      </c>
      <c r="I205" s="22">
        <f ca="1">I204/I203</f>
        <v>0.31398210396296328</v>
      </c>
      <c r="J205" s="22">
        <f ca="1">J204/J203</f>
        <v>0.3106359221059436</v>
      </c>
      <c r="K205" s="22">
        <f ca="1">K204/K203</f>
        <v>0.28407727669702576</v>
      </c>
      <c r="L205" s="22">
        <f ca="1">L204/L203</f>
        <v>0.25851167145262599</v>
      </c>
    </row>
    <row r="206" spans="3:14" x14ac:dyDescent="0.3">
      <c r="C206" s="28" t="s">
        <v>393</v>
      </c>
      <c r="D206" s="57"/>
      <c r="E206" s="57"/>
      <c r="F206" s="57"/>
      <c r="G206" s="57"/>
      <c r="H206" s="81">
        <f ca="1">(1-H205)*H199</f>
        <v>581455.72977777768</v>
      </c>
      <c r="I206" s="81">
        <f ca="1">(1-I205)*I199</f>
        <v>521134.13866666669</v>
      </c>
      <c r="J206" s="81">
        <f ca="1">(1-J205)*J199</f>
        <v>529317.1272000001</v>
      </c>
      <c r="K206" s="81">
        <f ca="1">(1-K205)*K199</f>
        <v>601102.62600000016</v>
      </c>
      <c r="L206" s="81">
        <f ca="1">(1-L205)*L199</f>
        <v>684137.09279999998</v>
      </c>
      <c r="N206" s="149"/>
    </row>
    <row r="207" spans="3:14" x14ac:dyDescent="0.3">
      <c r="C207" s="28" t="s">
        <v>9</v>
      </c>
      <c r="D207" s="57"/>
      <c r="E207" s="57"/>
      <c r="F207" s="57"/>
      <c r="G207" s="57"/>
      <c r="H207" s="81">
        <f ca="1">H199-H206</f>
        <v>238516.80000000005</v>
      </c>
      <c r="I207" s="81">
        <f ca="1">I199-I206</f>
        <v>238516.80000000005</v>
      </c>
      <c r="J207" s="81">
        <f ca="1">J199-J206</f>
        <v>238516.79999999993</v>
      </c>
      <c r="K207" s="81">
        <f ca="1">K199-K206</f>
        <v>238516.80000000005</v>
      </c>
      <c r="L207" s="81">
        <f ca="1">L199-L206</f>
        <v>238516.80000000005</v>
      </c>
      <c r="N207" s="149"/>
    </row>
    <row r="208" spans="3:14" x14ac:dyDescent="0.3">
      <c r="C208" s="28" t="s">
        <v>395</v>
      </c>
      <c r="D208" s="130">
        <f>D203/D220</f>
        <v>1.759519165270095</v>
      </c>
      <c r="E208" s="130">
        <f>E203/E220</f>
        <v>1.1145512771609893</v>
      </c>
      <c r="F208" s="130">
        <f>F203/F220</f>
        <v>1.3361682001466775</v>
      </c>
      <c r="G208" s="130">
        <f>G203/G220</f>
        <v>1.6153257856444392</v>
      </c>
      <c r="H208" s="129">
        <v>1.5</v>
      </c>
      <c r="I208" s="129">
        <f>H208</f>
        <v>1.5</v>
      </c>
      <c r="J208" s="129">
        <f>I208</f>
        <v>1.5</v>
      </c>
      <c r="K208" s="129">
        <f>J208</f>
        <v>1.5</v>
      </c>
      <c r="L208" s="129">
        <f>K208</f>
        <v>1.5</v>
      </c>
    </row>
    <row r="209" spans="2:14" x14ac:dyDescent="0.3">
      <c r="C209" s="23"/>
      <c r="D209" s="130"/>
      <c r="E209" s="130"/>
      <c r="F209" s="130"/>
      <c r="G209" s="130"/>
      <c r="H209" s="129"/>
      <c r="I209" s="129"/>
      <c r="J209" s="129"/>
      <c r="K209" s="129"/>
      <c r="L209" s="129"/>
    </row>
    <row r="210" spans="2:14" x14ac:dyDescent="0.3">
      <c r="C210" s="114" t="s">
        <v>271</v>
      </c>
      <c r="D210" s="50">
        <v>158000</v>
      </c>
      <c r="E210" s="50">
        <v>165000</v>
      </c>
      <c r="F210" s="50">
        <v>177000</v>
      </c>
      <c r="G210" s="50">
        <v>221000</v>
      </c>
      <c r="H210" s="12">
        <f ca="1">H177*H211</f>
        <v>228619.00239288888</v>
      </c>
      <c r="I210" s="12">
        <f ca="1">I177*I211</f>
        <v>216225.97329746134</v>
      </c>
      <c r="J210" s="12">
        <f ca="1">J177*J211</f>
        <v>217111.91048242897</v>
      </c>
      <c r="K210" s="12">
        <f ca="1">K177*K211</f>
        <v>232650.33263299469</v>
      </c>
      <c r="L210" s="12">
        <f ca="1">L177*L211</f>
        <v>253211.16098915544</v>
      </c>
      <c r="N210" s="149">
        <f ca="1">((L210/G210)^(1/(COUNTA($H$3:$L$3)))-1)</f>
        <v>2.7585847219320891E-2</v>
      </c>
    </row>
    <row r="211" spans="2:14" x14ac:dyDescent="0.3">
      <c r="C211" s="28" t="s">
        <v>231</v>
      </c>
      <c r="D211" s="22">
        <f>D210/D177</f>
        <v>0.27832336595118773</v>
      </c>
      <c r="E211" s="22">
        <f t="shared" ref="E211:F211" si="100">E210/E177</f>
        <v>0.27671238849748525</v>
      </c>
      <c r="F211" s="22">
        <f t="shared" si="100"/>
        <v>0.16998668917789828</v>
      </c>
      <c r="G211" s="22">
        <f t="shared" ref="G211" si="101">G210/G177</f>
        <v>0.21409106717131451</v>
      </c>
      <c r="H211" s="120">
        <f ca="1">_xlfn.XLOOKUP(H$3,'Scenario Analysis'!$G$3:$K$3,'Scenario Analysis'!$G$17:$K$17)</f>
        <v>0.23</v>
      </c>
      <c r="I211" s="120">
        <f ca="1">_xlfn.XLOOKUP(I$3,'Scenario Analysis'!$G$3:$K$3,'Scenario Analysis'!$G$17:$K$17)</f>
        <v>0.23</v>
      </c>
      <c r="J211" s="120">
        <f ca="1">_xlfn.XLOOKUP(J$3,'Scenario Analysis'!$G$3:$K$3,'Scenario Analysis'!$G$17:$K$17)</f>
        <v>0.23</v>
      </c>
      <c r="K211" s="120">
        <f ca="1">_xlfn.XLOOKUP(K$3,'Scenario Analysis'!$G$3:$K$3,'Scenario Analysis'!$G$17:$K$17)</f>
        <v>0.23</v>
      </c>
      <c r="L211" s="120">
        <f ca="1">_xlfn.XLOOKUP(L$3,'Scenario Analysis'!$G$3:$K$3,'Scenario Analysis'!$G$17:$K$17)</f>
        <v>0.23</v>
      </c>
    </row>
    <row r="212" spans="2:14" x14ac:dyDescent="0.3">
      <c r="C212" s="56"/>
      <c r="H212" s="12"/>
      <c r="I212" s="12"/>
      <c r="J212" s="12"/>
      <c r="K212" s="12"/>
      <c r="L212" s="12"/>
    </row>
    <row r="213" spans="2:14" x14ac:dyDescent="0.3">
      <c r="C213" s="114" t="s">
        <v>270</v>
      </c>
      <c r="D213" s="50">
        <v>84000</v>
      </c>
      <c r="E213" s="50">
        <v>46000</v>
      </c>
      <c r="F213" s="50">
        <v>74000</v>
      </c>
      <c r="G213" s="50">
        <v>51000</v>
      </c>
      <c r="H213" s="10">
        <f t="shared" ref="H213:L213" si="102">G213</f>
        <v>51000</v>
      </c>
      <c r="I213" s="10">
        <f t="shared" si="102"/>
        <v>51000</v>
      </c>
      <c r="J213" s="10">
        <f t="shared" si="102"/>
        <v>51000</v>
      </c>
      <c r="K213" s="10">
        <f t="shared" si="102"/>
        <v>51000</v>
      </c>
      <c r="L213" s="10">
        <f t="shared" si="102"/>
        <v>51000</v>
      </c>
    </row>
    <row r="214" spans="2:14" x14ac:dyDescent="0.3">
      <c r="C214" s="23"/>
    </row>
    <row r="215" spans="2:14" x14ac:dyDescent="0.3">
      <c r="C215" s="23"/>
      <c r="D215" s="78"/>
      <c r="E215" s="78"/>
      <c r="F215" s="78"/>
      <c r="L215" s="142" t="str">
        <f>UPPER("Active scenario: "&amp;'Scenario Analysis'!$D$3)</f>
        <v>ACTIVE SCENARIO: BASE CASE</v>
      </c>
    </row>
    <row r="216" spans="2:14" x14ac:dyDescent="0.3">
      <c r="B216" t="s">
        <v>7</v>
      </c>
      <c r="C216" s="56" t="s">
        <v>398</v>
      </c>
      <c r="D216" s="12"/>
    </row>
    <row r="217" spans="2:14" x14ac:dyDescent="0.3">
      <c r="C217" s="14" t="str">
        <f>Model!C12</f>
        <v>Fiscal year</v>
      </c>
      <c r="D217" s="6">
        <f>Model!D12</f>
        <v>2020</v>
      </c>
      <c r="E217" s="6">
        <f>Model!E12</f>
        <v>2021</v>
      </c>
      <c r="F217" s="6">
        <f>Model!F12</f>
        <v>2022</v>
      </c>
      <c r="G217" s="6">
        <f>Model!G12</f>
        <v>2023</v>
      </c>
      <c r="H217" s="7">
        <f>Model!H12</f>
        <v>2024</v>
      </c>
      <c r="I217" s="7">
        <f>Model!I12</f>
        <v>2025</v>
      </c>
      <c r="J217" s="7">
        <f>Model!J12</f>
        <v>2026</v>
      </c>
      <c r="K217" s="7">
        <f>Model!K12</f>
        <v>2027</v>
      </c>
      <c r="L217" s="7">
        <f>Model!L12</f>
        <v>2028</v>
      </c>
      <c r="N217" s="146" t="s">
        <v>26</v>
      </c>
    </row>
    <row r="218" spans="2:14" x14ac:dyDescent="0.3">
      <c r="C218" s="8" t="str">
        <f>Model!C13</f>
        <v>Fiscal year end date</v>
      </c>
      <c r="D218" s="9">
        <f>Model!D13</f>
        <v>44196</v>
      </c>
      <c r="E218" s="9">
        <f>Model!E13</f>
        <v>44561</v>
      </c>
      <c r="F218" s="9">
        <f>Model!F13</f>
        <v>44926</v>
      </c>
      <c r="G218" s="9">
        <f>Model!G13</f>
        <v>45291</v>
      </c>
      <c r="H218" s="9">
        <f>Model!H13</f>
        <v>45657</v>
      </c>
      <c r="I218" s="9">
        <f>Model!I13</f>
        <v>46022</v>
      </c>
      <c r="J218" s="9">
        <f>Model!J13</f>
        <v>46387</v>
      </c>
      <c r="K218" s="9">
        <f>Model!K13</f>
        <v>46752</v>
      </c>
      <c r="L218" s="9">
        <f>Model!L13</f>
        <v>47118</v>
      </c>
      <c r="N218" s="19" t="s">
        <v>27</v>
      </c>
    </row>
    <row r="219" spans="2:14" x14ac:dyDescent="0.3">
      <c r="C219" s="28"/>
      <c r="D219" s="34" t="s">
        <v>82</v>
      </c>
      <c r="E219" s="33"/>
      <c r="F219" s="33"/>
      <c r="G219" s="34" t="s">
        <v>83</v>
      </c>
      <c r="H219" s="33"/>
      <c r="I219" s="33"/>
      <c r="J219" s="33"/>
      <c r="K219" s="33"/>
    </row>
    <row r="220" spans="2:14" x14ac:dyDescent="0.3">
      <c r="C220" s="56" t="s">
        <v>385</v>
      </c>
      <c r="D220" s="4">
        <v>41.96</v>
      </c>
      <c r="E220" s="4">
        <v>70.86</v>
      </c>
      <c r="F220" s="4">
        <v>100.93</v>
      </c>
      <c r="G220" s="4">
        <v>83</v>
      </c>
      <c r="H220" s="202">
        <f ca="1">_xlfn.XLOOKUP(H$3,'Scenario Analysis'!$G$3:$K$3,'Scenario Analysis'!$G$5:$K$5)</f>
        <v>84.799012345679017</v>
      </c>
      <c r="I220" s="202">
        <f ca="1">_xlfn.XLOOKUP(I$3,'Scenario Analysis'!$G$3:$K$3,'Scenario Analysis'!$G$5:$K$5)</f>
        <v>78.560740740740755</v>
      </c>
      <c r="J220" s="202">
        <f ca="1">_xlfn.XLOOKUP(J$3,'Scenario Analysis'!$G$3:$K$3,'Scenario Analysis'!$G$5:$K$5)</f>
        <v>79.407000000000011</v>
      </c>
      <c r="K220" s="202">
        <f ca="1">_xlfn.XLOOKUP(K$3,'Scenario Analysis'!$G$3:$K$3,'Scenario Analysis'!$G$5:$K$5)</f>
        <v>86.830833333333345</v>
      </c>
      <c r="L220" s="202">
        <f ca="1">_xlfn.XLOOKUP(L$3,'Scenario Analysis'!$G$3:$K$3,'Scenario Analysis'!$G$5:$K$5)</f>
        <v>95.418000000000006</v>
      </c>
      <c r="N220" s="149">
        <f ca="1">((L220/G220)^(1/COUNTA($H$217:$L$217)))-1</f>
        <v>2.827776136917115E-2</v>
      </c>
    </row>
    <row r="221" spans="2:14" x14ac:dyDescent="0.3">
      <c r="C221" s="28" t="s">
        <v>375</v>
      </c>
      <c r="D221" s="4"/>
      <c r="E221" s="4"/>
      <c r="F221" s="4"/>
      <c r="G221" s="140"/>
      <c r="H221" s="134">
        <v>93</v>
      </c>
      <c r="I221" s="134">
        <v>87</v>
      </c>
      <c r="J221" s="134">
        <v>88</v>
      </c>
      <c r="K221" s="134">
        <v>88</v>
      </c>
      <c r="L221" s="134">
        <v>89</v>
      </c>
      <c r="N221" s="149"/>
    </row>
    <row r="222" spans="2:14" x14ac:dyDescent="0.3">
      <c r="C222" s="28" t="s">
        <v>376</v>
      </c>
      <c r="D222" s="4"/>
      <c r="E222" s="4"/>
      <c r="F222" s="4"/>
      <c r="G222" s="140"/>
      <c r="H222" s="134">
        <v>85</v>
      </c>
      <c r="I222" s="134">
        <v>80</v>
      </c>
      <c r="J222" s="134"/>
      <c r="K222" s="134"/>
      <c r="N222" s="149"/>
    </row>
    <row r="223" spans="2:14" x14ac:dyDescent="0.3">
      <c r="C223" s="28" t="s">
        <v>377</v>
      </c>
      <c r="D223" s="4"/>
      <c r="E223" s="4"/>
      <c r="F223" s="4"/>
      <c r="G223" s="140"/>
      <c r="H223" s="134">
        <v>93</v>
      </c>
      <c r="I223" s="134">
        <v>80</v>
      </c>
      <c r="J223" s="134">
        <v>80</v>
      </c>
      <c r="K223" s="134">
        <v>80</v>
      </c>
      <c r="L223" s="134">
        <v>80</v>
      </c>
      <c r="N223" s="149"/>
    </row>
    <row r="224" spans="2:14" x14ac:dyDescent="0.3">
      <c r="C224" s="28" t="s">
        <v>378</v>
      </c>
      <c r="D224" s="4"/>
      <c r="E224" s="4"/>
      <c r="F224" s="4"/>
      <c r="G224" s="140"/>
      <c r="H224" s="134">
        <v>82</v>
      </c>
      <c r="I224" s="134">
        <v>80</v>
      </c>
      <c r="J224" s="134"/>
      <c r="K224" s="134"/>
      <c r="N224" s="149"/>
    </row>
    <row r="225" spans="3:14" x14ac:dyDescent="0.3">
      <c r="C225" s="28" t="s">
        <v>379</v>
      </c>
      <c r="D225" s="4"/>
      <c r="E225" s="4"/>
      <c r="F225" s="4"/>
      <c r="G225" s="140"/>
      <c r="H225" s="134">
        <v>74</v>
      </c>
      <c r="I225" s="134">
        <v>60</v>
      </c>
      <c r="J225" s="134"/>
      <c r="K225" s="134"/>
    </row>
    <row r="226" spans="3:14" x14ac:dyDescent="0.3">
      <c r="C226" s="28" t="s">
        <v>380</v>
      </c>
      <c r="D226" s="4"/>
      <c r="E226" s="4"/>
      <c r="F226" s="4"/>
      <c r="G226" s="140"/>
      <c r="H226" s="134">
        <v>83</v>
      </c>
      <c r="I226" s="134">
        <v>75</v>
      </c>
      <c r="J226" s="134"/>
      <c r="K226" s="134"/>
    </row>
    <row r="227" spans="3:14" x14ac:dyDescent="0.3">
      <c r="C227" s="28" t="s">
        <v>381</v>
      </c>
      <c r="D227" s="4"/>
      <c r="E227" s="4"/>
      <c r="F227" s="4"/>
      <c r="G227" s="140"/>
      <c r="H227" s="134">
        <v>80</v>
      </c>
      <c r="I227" s="134">
        <v>75</v>
      </c>
      <c r="J227" s="134">
        <v>65</v>
      </c>
      <c r="K227" s="134">
        <v>65</v>
      </c>
      <c r="L227" s="134">
        <v>65</v>
      </c>
    </row>
    <row r="228" spans="3:14" x14ac:dyDescent="0.3">
      <c r="C228" s="28" t="s">
        <v>382</v>
      </c>
      <c r="D228" s="4"/>
      <c r="E228" s="4"/>
      <c r="F228" s="4"/>
      <c r="G228" s="140"/>
      <c r="H228" s="134">
        <v>76</v>
      </c>
      <c r="I228" s="134">
        <v>74.45</v>
      </c>
      <c r="J228" s="134">
        <v>73.849999999999994</v>
      </c>
      <c r="K228" s="134">
        <v>75.349999999999994</v>
      </c>
    </row>
    <row r="229" spans="3:14" x14ac:dyDescent="0.3">
      <c r="C229" s="28" t="s">
        <v>383</v>
      </c>
      <c r="D229" s="4"/>
      <c r="E229" s="4"/>
      <c r="F229" s="4"/>
      <c r="G229" s="140"/>
      <c r="H229" s="134">
        <f>AVERAGE(91.44, 95.61, 99.42,101.56,106.04,100.56,96.12,89.22,94.75)</f>
        <v>97.191111111111127</v>
      </c>
      <c r="I229" s="134">
        <f>AVERAGE(96.19, 102.15,105.82,98.88,99.47,94.61,93.99,96.33,92.98,87.22,92.63,86.89)</f>
        <v>95.596666666666678</v>
      </c>
      <c r="J229" s="134">
        <f>AVERAGE(81.5, 77.83, 75.17, 79.83, 81.13, 86.16, 91.5, 97.17, 103.19, 96.79, 102.79, 109.16)</f>
        <v>90.185000000000002</v>
      </c>
      <c r="K229" s="134">
        <f>AVERAGE(104.22, 106.02, 112.59, 116.83, 123.39, 118.74, 126.1, 133.92, 142.22, 151.04, 141.68, 132.9)</f>
        <v>125.80416666666667</v>
      </c>
      <c r="L229" s="4">
        <f>AVERAGE(132.03,138.19,146.76,155.86,165.52)</f>
        <v>147.672</v>
      </c>
    </row>
    <row r="230" spans="3:14" x14ac:dyDescent="0.3">
      <c r="C230" s="46" t="s">
        <v>384</v>
      </c>
      <c r="D230" s="4"/>
      <c r="E230" s="4"/>
      <c r="F230" s="4"/>
      <c r="G230" s="179"/>
      <c r="H230" s="172">
        <f>AVERAGE(H221:H229)</f>
        <v>84.799012345679017</v>
      </c>
      <c r="I230" s="172">
        <f t="shared" ref="I230:L230" si="103">AVERAGE(I221:I229)</f>
        <v>78.560740740740755</v>
      </c>
      <c r="J230" s="172">
        <f t="shared" si="103"/>
        <v>79.407000000000011</v>
      </c>
      <c r="K230" s="172">
        <f t="shared" si="103"/>
        <v>86.830833333333345</v>
      </c>
      <c r="L230" s="172">
        <f t="shared" si="103"/>
        <v>95.418000000000006</v>
      </c>
      <c r="N230" s="149"/>
    </row>
    <row r="231" spans="3:14" x14ac:dyDescent="0.3">
      <c r="C231" s="23"/>
      <c r="D231" s="4"/>
      <c r="E231" s="4"/>
      <c r="F231" s="4"/>
      <c r="G231" s="140"/>
      <c r="H231" s="140"/>
      <c r="I231" s="140"/>
      <c r="J231" s="140"/>
      <c r="K231" s="140"/>
    </row>
    <row r="232" spans="3:14" x14ac:dyDescent="0.3">
      <c r="C232" s="124" t="s">
        <v>275</v>
      </c>
      <c r="D232" s="41">
        <f>D220*6.289811</f>
        <v>263.92046956000002</v>
      </c>
      <c r="E232" s="41">
        <f t="shared" ref="E232:G232" si="104">E220*6.289811</f>
        <v>445.69600746000003</v>
      </c>
      <c r="F232" s="41">
        <f t="shared" si="104"/>
        <v>634.83062423000013</v>
      </c>
      <c r="G232" s="41">
        <f t="shared" si="104"/>
        <v>522.05431299999998</v>
      </c>
      <c r="H232" s="41">
        <f ca="1">H220*6.289811</f>
        <v>533.36976064098769</v>
      </c>
      <c r="I232" s="41">
        <f ca="1">I220*6.289811</f>
        <v>494.13221127925937</v>
      </c>
      <c r="J232" s="41">
        <f ca="1">J220*6.289811</f>
        <v>499.45502207700008</v>
      </c>
      <c r="K232" s="41">
        <f ca="1">K220*6.289811</f>
        <v>546.14953063916676</v>
      </c>
      <c r="L232" s="41">
        <f ca="1">L220*6.289811</f>
        <v>600.16118599800006</v>
      </c>
    </row>
    <row r="233" spans="3:14" x14ac:dyDescent="0.3">
      <c r="C233" s="124" t="s">
        <v>261</v>
      </c>
      <c r="D233" s="4">
        <v>0.87549999999999994</v>
      </c>
      <c r="E233" s="4">
        <v>0.84550000000000003</v>
      </c>
      <c r="F233" s="4">
        <v>0.89449999999999996</v>
      </c>
    </row>
    <row r="234" spans="3:14" x14ac:dyDescent="0.3">
      <c r="C234" s="124" t="s">
        <v>262</v>
      </c>
      <c r="D234" s="125">
        <f>D233*D232</f>
        <v>231.06237109977999</v>
      </c>
      <c r="E234" s="125">
        <f t="shared" ref="E234:F234" si="105">E233*E232</f>
        <v>376.83597430743004</v>
      </c>
      <c r="F234" s="125">
        <f t="shared" si="105"/>
        <v>567.85599337373503</v>
      </c>
    </row>
    <row r="235" spans="3:14" x14ac:dyDescent="0.3">
      <c r="C235" s="23" t="s">
        <v>265</v>
      </c>
      <c r="D235" s="130">
        <f>D112/D232</f>
        <v>2.5566831952697919</v>
      </c>
      <c r="E235" s="130">
        <f>E112/E232</f>
        <v>1.7541011327766876</v>
      </c>
      <c r="F235" s="130">
        <f>F112/F232</f>
        <v>1.5329095042994942</v>
      </c>
      <c r="G235" s="130">
        <f>G112/G232</f>
        <v>1.7492253517104961</v>
      </c>
      <c r="H235" s="129">
        <f>G235</f>
        <v>1.7492253517104961</v>
      </c>
      <c r="I235" s="129">
        <f t="shared" ref="I235:L235" si="106">H235</f>
        <v>1.7492253517104961</v>
      </c>
      <c r="J235" s="129">
        <f t="shared" si="106"/>
        <v>1.7492253517104961</v>
      </c>
      <c r="K235" s="129">
        <f t="shared" si="106"/>
        <v>1.7492253517104961</v>
      </c>
      <c r="L235" s="129">
        <f t="shared" si="106"/>
        <v>1.7492253517104961</v>
      </c>
    </row>
    <row r="236" spans="3:14" x14ac:dyDescent="0.3">
      <c r="C236" s="23" t="s">
        <v>268</v>
      </c>
      <c r="D236" s="130">
        <f>D113/D232</f>
        <v>2.5723104412967954</v>
      </c>
      <c r="E236" s="130">
        <f>E113/E232</f>
        <v>1.7877721254261751</v>
      </c>
      <c r="F236" s="130">
        <f>F113/F232</f>
        <v>1.8685333594839426</v>
      </c>
      <c r="G236" s="130">
        <f>G113/G232</f>
        <v>2.0329089185397589</v>
      </c>
      <c r="H236" s="129">
        <f t="shared" ref="H236:L237" si="107">G236</f>
        <v>2.0329089185397589</v>
      </c>
      <c r="I236" s="129">
        <f t="shared" si="107"/>
        <v>2.0329089185397589</v>
      </c>
      <c r="J236" s="129">
        <f t="shared" si="107"/>
        <v>2.0329089185397589</v>
      </c>
      <c r="K236" s="129">
        <f t="shared" si="107"/>
        <v>2.0329089185397589</v>
      </c>
      <c r="L236" s="129">
        <f t="shared" si="107"/>
        <v>2.0329089185397589</v>
      </c>
    </row>
    <row r="237" spans="3:14" x14ac:dyDescent="0.3">
      <c r="C237" s="23" t="s">
        <v>267</v>
      </c>
      <c r="D237" s="130">
        <f>D114/D232</f>
        <v>2.4220339140933147</v>
      </c>
      <c r="E237" s="130">
        <f>E114/E232</f>
        <v>1.516290896456616</v>
      </c>
      <c r="F237" s="130">
        <f>F114/F232</f>
        <v>1.6987655540071631</v>
      </c>
      <c r="G237" s="130">
        <f>G114/G232</f>
        <v>1.7482766912060632</v>
      </c>
      <c r="H237" s="129">
        <f t="shared" si="107"/>
        <v>1.7482766912060632</v>
      </c>
      <c r="I237" s="129">
        <f t="shared" si="107"/>
        <v>1.7482766912060632</v>
      </c>
      <c r="J237" s="129">
        <f t="shared" si="107"/>
        <v>1.7482766912060632</v>
      </c>
      <c r="K237" s="129">
        <f t="shared" si="107"/>
        <v>1.7482766912060632</v>
      </c>
      <c r="L237" s="129">
        <f t="shared" si="107"/>
        <v>1.7482766912060632</v>
      </c>
    </row>
    <row r="238" spans="3:14" x14ac:dyDescent="0.3">
      <c r="C238" s="23" t="s">
        <v>266</v>
      </c>
      <c r="D238" s="130">
        <f t="shared" ref="D238:F238" si="108">D115/D232</f>
        <v>2.502237288962657</v>
      </c>
      <c r="E238" s="130">
        <f t="shared" si="108"/>
        <v>1.6587342717645386</v>
      </c>
      <c r="F238" s="130">
        <f t="shared" si="108"/>
        <v>1.7401347566533634</v>
      </c>
      <c r="G238" s="130">
        <f t="shared" ref="G238" si="109">G115/G232</f>
        <v>1.8588800383650967</v>
      </c>
      <c r="H238" s="130">
        <f ca="1">H115/H232</f>
        <v>1.8569346329882066</v>
      </c>
      <c r="I238" s="130">
        <f ca="1">I115/I232</f>
        <v>1.8548730457409495</v>
      </c>
      <c r="J238" s="130">
        <f ca="1">J115/J232</f>
        <v>1.8523774548106011</v>
      </c>
      <c r="K238" s="130">
        <f ca="1">K115/K232</f>
        <v>1.8492922442546866</v>
      </c>
      <c r="L238" s="130">
        <f ca="1">L115/L232</f>
        <v>1.845633207439827</v>
      </c>
    </row>
    <row r="240" spans="3:14" x14ac:dyDescent="0.3">
      <c r="C240" s="23"/>
      <c r="D240" s="130"/>
      <c r="E240" s="130"/>
      <c r="F240" s="130"/>
      <c r="G240" s="129"/>
      <c r="H240" s="129"/>
      <c r="I240" s="129"/>
      <c r="J240" s="129"/>
      <c r="L240" s="142" t="str">
        <f>UPPER("Active scenario: "&amp;'Scenario Analysis'!$D$3)</f>
        <v>ACTIVE SCENARIO: BASE CASE</v>
      </c>
    </row>
    <row r="241" spans="2:12" x14ac:dyDescent="0.3">
      <c r="B241" t="s">
        <v>7</v>
      </c>
      <c r="C241" s="191" t="s">
        <v>278</v>
      </c>
      <c r="D241" s="192"/>
      <c r="E241" s="192"/>
      <c r="F241" s="192"/>
      <c r="G241" s="193"/>
      <c r="H241" s="193"/>
      <c r="I241" s="193"/>
      <c r="J241" s="193"/>
      <c r="K241" s="45"/>
      <c r="L241" s="45"/>
    </row>
    <row r="242" spans="2:12" x14ac:dyDescent="0.3">
      <c r="D242" s="238"/>
      <c r="E242" s="239"/>
      <c r="F242" s="240"/>
      <c r="G242" s="240"/>
      <c r="H242" s="240"/>
      <c r="I242" s="240"/>
    </row>
    <row r="243" spans="2:12" x14ac:dyDescent="0.3">
      <c r="C243" s="44" t="s">
        <v>514</v>
      </c>
      <c r="D243" s="44"/>
      <c r="E243" s="188"/>
      <c r="F243" s="188"/>
      <c r="G243" s="188"/>
      <c r="H243" s="188"/>
      <c r="I243" s="188"/>
    </row>
    <row r="244" spans="2:12" x14ac:dyDescent="0.3">
      <c r="E244" s="241" t="s">
        <v>515</v>
      </c>
      <c r="F244" s="33"/>
      <c r="G244" s="33"/>
      <c r="H244" s="33"/>
      <c r="I244" s="33"/>
    </row>
    <row r="245" spans="2:12" x14ac:dyDescent="0.3">
      <c r="D245" s="245">
        <f ca="1">Model!H35</f>
        <v>365748.93402852985</v>
      </c>
      <c r="E245" s="247">
        <f>F245-0.05</f>
        <v>0.10000000000000002</v>
      </c>
      <c r="F245" s="247">
        <f>G245-0.05</f>
        <v>0.15000000000000002</v>
      </c>
      <c r="G245" s="246">
        <v>0.2</v>
      </c>
      <c r="H245" s="247">
        <f>G245+0.05</f>
        <v>0.25</v>
      </c>
      <c r="I245" s="247">
        <f>H245+0.05</f>
        <v>0.3</v>
      </c>
    </row>
    <row r="246" spans="2:12" x14ac:dyDescent="0.3">
      <c r="C246" s="23"/>
      <c r="D246" s="243">
        <f>D247-200</f>
        <v>2400</v>
      </c>
      <c r="E246" s="81">
        <f t="dataTable" ref="E246:I250" dt2D="1" dtr="1" r1="H132" r2="H35" ca="1"/>
        <v>335395.99093605508</v>
      </c>
      <c r="F246" s="81">
        <v>335377.13556878013</v>
      </c>
      <c r="G246" s="81">
        <v>335358.28020150511</v>
      </c>
      <c r="H246" s="81">
        <v>335339.42483423016</v>
      </c>
      <c r="I246" s="81">
        <v>335320.56946695514</v>
      </c>
      <c r="J246" s="129"/>
      <c r="K246" s="129"/>
    </row>
    <row r="247" spans="2:12" x14ac:dyDescent="0.3">
      <c r="C247" s="242" t="s">
        <v>204</v>
      </c>
      <c r="D247" s="243">
        <f>D248-200</f>
        <v>2600</v>
      </c>
      <c r="E247" s="81">
        <v>350240.00046064839</v>
      </c>
      <c r="F247" s="81">
        <v>350193.09222447628</v>
      </c>
      <c r="G247" s="81">
        <v>350146.18398830428</v>
      </c>
      <c r="H247" s="81">
        <v>350099.27575213212</v>
      </c>
      <c r="I247" s="81">
        <v>350052.36751596007</v>
      </c>
      <c r="J247" s="129"/>
    </row>
    <row r="248" spans="2:12" x14ac:dyDescent="0.3">
      <c r="C248" s="242" t="s">
        <v>519</v>
      </c>
      <c r="D248" s="244">
        <v>2800</v>
      </c>
      <c r="E248" s="81">
        <v>364809.12629783835</v>
      </c>
      <c r="F248" s="81">
        <v>364758.60973580688</v>
      </c>
      <c r="G248" s="81">
        <v>364708.09317377536</v>
      </c>
      <c r="H248" s="81">
        <v>364657.57661174389</v>
      </c>
      <c r="I248" s="81">
        <v>364607.06004971243</v>
      </c>
    </row>
    <row r="249" spans="2:12" x14ac:dyDescent="0.3">
      <c r="D249" s="243">
        <f>D248+200</f>
        <v>3000</v>
      </c>
      <c r="E249" s="81">
        <v>379378.25213502831</v>
      </c>
      <c r="F249" s="81">
        <v>379324.12724713737</v>
      </c>
      <c r="G249" s="81">
        <v>379270.00235924654</v>
      </c>
      <c r="H249" s="81">
        <v>379215.87747135572</v>
      </c>
      <c r="I249" s="81">
        <v>379161.7525834649</v>
      </c>
    </row>
    <row r="250" spans="2:12" x14ac:dyDescent="0.3">
      <c r="D250" s="243">
        <f>D249+200</f>
        <v>3200</v>
      </c>
      <c r="E250" s="81">
        <v>393947.37797221809</v>
      </c>
      <c r="F250" s="81">
        <v>393889.64475846785</v>
      </c>
      <c r="G250" s="81">
        <v>393831.91154471762</v>
      </c>
      <c r="H250" s="81">
        <v>393774.17833096755</v>
      </c>
      <c r="I250" s="81">
        <v>393716.44511721813</v>
      </c>
    </row>
    <row r="252" spans="2:12" x14ac:dyDescent="0.3">
      <c r="C252" s="44" t="s">
        <v>516</v>
      </c>
      <c r="D252" s="44"/>
      <c r="E252" s="188"/>
      <c r="F252" s="188"/>
      <c r="G252" s="188"/>
      <c r="H252" s="188"/>
      <c r="I252" s="188"/>
    </row>
    <row r="253" spans="2:12" x14ac:dyDescent="0.3">
      <c r="E253" s="241" t="s">
        <v>517</v>
      </c>
      <c r="F253" s="33"/>
      <c r="G253" s="33"/>
      <c r="H253" s="33"/>
      <c r="I253" s="33"/>
    </row>
    <row r="254" spans="2:12" x14ac:dyDescent="0.3">
      <c r="D254" s="245">
        <f ca="1">Model!H35</f>
        <v>365748.93402852985</v>
      </c>
      <c r="E254" s="247">
        <f>F254-0.05</f>
        <v>0.10000000000000002</v>
      </c>
      <c r="F254" s="247">
        <f>G254-0.05</f>
        <v>0.15000000000000002</v>
      </c>
      <c r="G254" s="246">
        <v>0.2</v>
      </c>
      <c r="H254" s="247">
        <f>G254+0.05</f>
        <v>0.25</v>
      </c>
      <c r="I254" s="247">
        <f>H254+0.05</f>
        <v>0.3</v>
      </c>
    </row>
    <row r="255" spans="2:12" x14ac:dyDescent="0.3">
      <c r="C255" s="23"/>
      <c r="D255" s="243">
        <f>D256-200</f>
        <v>1900</v>
      </c>
      <c r="E255" s="12">
        <f t="dataTable" ref="E255:I259" dt2D="1" dtr="1" r1="H131" r2="H34" ca="1"/>
        <v>340231.9323194988</v>
      </c>
      <c r="F255" s="12">
        <v>340214.57490201824</v>
      </c>
      <c r="G255" s="12">
        <v>340197.21748453774</v>
      </c>
      <c r="H255" s="12">
        <v>340179.86006705719</v>
      </c>
      <c r="I255" s="12">
        <v>340162.50264957664</v>
      </c>
    </row>
    <row r="256" spans="2:12" x14ac:dyDescent="0.3">
      <c r="C256" s="242" t="s">
        <v>509</v>
      </c>
      <c r="D256" s="243">
        <f>D257-200</f>
        <v>2100</v>
      </c>
      <c r="E256" s="12">
        <v>353927.13014848757</v>
      </c>
      <c r="F256" s="12">
        <v>353883.07437773742</v>
      </c>
      <c r="G256" s="12">
        <v>353839.01860698708</v>
      </c>
      <c r="H256" s="12">
        <v>353794.96283623681</v>
      </c>
      <c r="I256" s="12">
        <v>353750.90706548659</v>
      </c>
    </row>
    <row r="257" spans="3:9" x14ac:dyDescent="0.3">
      <c r="C257" s="242" t="s">
        <v>519</v>
      </c>
      <c r="D257" s="244">
        <v>2300</v>
      </c>
      <c r="E257" s="12">
        <v>367286.98831782775</v>
      </c>
      <c r="F257" s="12">
        <v>367238.73675938701</v>
      </c>
      <c r="G257" s="12">
        <v>367190.48520094622</v>
      </c>
      <c r="H257" s="12">
        <v>367142.23364250542</v>
      </c>
      <c r="I257" s="12">
        <v>367093.98208406474</v>
      </c>
    </row>
    <row r="258" spans="3:9" x14ac:dyDescent="0.3">
      <c r="D258" s="243">
        <f>D257+200</f>
        <v>2500</v>
      </c>
      <c r="E258" s="12">
        <v>380646.84648716805</v>
      </c>
      <c r="F258" s="12">
        <v>380594.39914103679</v>
      </c>
      <c r="G258" s="12">
        <v>380541.95179490553</v>
      </c>
      <c r="H258" s="12">
        <v>380489.50444877427</v>
      </c>
      <c r="I258" s="12">
        <v>380437.05710264301</v>
      </c>
    </row>
    <row r="259" spans="3:9" x14ac:dyDescent="0.3">
      <c r="D259" s="243">
        <f>D258+200</f>
        <v>2700</v>
      </c>
      <c r="E259" s="12">
        <v>394006.70465650829</v>
      </c>
      <c r="F259" s="12">
        <v>393950.06152268662</v>
      </c>
      <c r="G259" s="12">
        <v>393893.41838886571</v>
      </c>
      <c r="H259" s="12">
        <v>393836.77525504393</v>
      </c>
      <c r="I259" s="12">
        <v>393780.13212122215</v>
      </c>
    </row>
    <row r="261" spans="3:9" x14ac:dyDescent="0.3">
      <c r="C261" s="44" t="s">
        <v>518</v>
      </c>
      <c r="D261" s="44"/>
      <c r="E261" s="188"/>
      <c r="F261" s="188"/>
      <c r="G261" s="188"/>
      <c r="H261" s="188"/>
      <c r="I261" s="188"/>
    </row>
    <row r="262" spans="3:9" x14ac:dyDescent="0.3">
      <c r="E262" s="241" t="s">
        <v>517</v>
      </c>
      <c r="F262" s="33"/>
      <c r="G262" s="33"/>
      <c r="H262" s="33"/>
      <c r="I262" s="33"/>
    </row>
    <row r="263" spans="3:9" x14ac:dyDescent="0.3">
      <c r="D263" s="245">
        <f ca="1">Model!H35</f>
        <v>365748.93402852985</v>
      </c>
      <c r="E263" s="247">
        <f>F263-0.02</f>
        <v>0.23</v>
      </c>
      <c r="F263" s="247">
        <f>G263-0.02</f>
        <v>0.25</v>
      </c>
      <c r="G263" s="246">
        <v>0.27</v>
      </c>
      <c r="H263" s="247">
        <f>G263+0.02</f>
        <v>0.29000000000000004</v>
      </c>
      <c r="I263" s="247">
        <f>H263+0.02</f>
        <v>0.31000000000000005</v>
      </c>
    </row>
    <row r="264" spans="3:9" x14ac:dyDescent="0.3">
      <c r="D264" s="243">
        <f>D265-20</f>
        <v>840</v>
      </c>
      <c r="E264" s="12">
        <f t="dataTable" ref="E264:I268" dt2D="1" dtr="1" r1="H130" r2="H33" ca="1"/>
        <v>361267.99641870201</v>
      </c>
      <c r="F264" s="12">
        <v>361261.93114186585</v>
      </c>
      <c r="G264" s="12">
        <v>361255.86586502969</v>
      </c>
      <c r="H264" s="12">
        <v>361249.80058819352</v>
      </c>
      <c r="I264" s="12">
        <v>361243.7353113573</v>
      </c>
    </row>
    <row r="265" spans="3:9" x14ac:dyDescent="0.3">
      <c r="C265" s="242" t="s">
        <v>520</v>
      </c>
      <c r="D265" s="243">
        <f>D266-20</f>
        <v>860</v>
      </c>
      <c r="E265" s="12">
        <v>363341.05751795508</v>
      </c>
      <c r="F265" s="12">
        <v>363334.84782976564</v>
      </c>
      <c r="G265" s="12">
        <v>363328.63814157626</v>
      </c>
      <c r="H265" s="12">
        <v>363322.42845338682</v>
      </c>
      <c r="I265" s="12">
        <v>363316.21876519738</v>
      </c>
    </row>
    <row r="266" spans="3:9" x14ac:dyDescent="0.3">
      <c r="C266" s="242" t="s">
        <v>519</v>
      </c>
      <c r="D266" s="244">
        <v>880</v>
      </c>
      <c r="E266" s="12">
        <v>365414.11861720821</v>
      </c>
      <c r="F266" s="12">
        <v>365407.76451766555</v>
      </c>
      <c r="G266" s="12">
        <v>365401.41041812289</v>
      </c>
      <c r="H266" s="12">
        <v>365395.05631858023</v>
      </c>
      <c r="I266" s="12">
        <v>365388.70221903751</v>
      </c>
    </row>
    <row r="267" spans="3:9" x14ac:dyDescent="0.3">
      <c r="D267" s="243">
        <f>D266+20</f>
        <v>900</v>
      </c>
      <c r="E267" s="12">
        <v>367487.17971646116</v>
      </c>
      <c r="F267" s="12">
        <v>367480.68120556528</v>
      </c>
      <c r="G267" s="12">
        <v>367474.18269466935</v>
      </c>
      <c r="H267" s="12">
        <v>367467.68418377347</v>
      </c>
      <c r="I267" s="12">
        <v>367461.18567287753</v>
      </c>
    </row>
    <row r="268" spans="3:9" x14ac:dyDescent="0.3">
      <c r="D268" s="243">
        <f>D267+20</f>
        <v>920</v>
      </c>
      <c r="E268" s="12">
        <v>369560.24081571418</v>
      </c>
      <c r="F268" s="12">
        <v>369553.59789346508</v>
      </c>
      <c r="G268" s="12">
        <v>369546.95497121592</v>
      </c>
      <c r="H268" s="12">
        <v>369540.31204896676</v>
      </c>
      <c r="I268" s="12">
        <v>369533.66912671766</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A596-BB1A-4994-8A69-CD7AE2984956}">
  <sheetPr codeName="Sheet6"/>
  <dimension ref="C2:P34"/>
  <sheetViews>
    <sheetView zoomScaleNormal="100" workbookViewId="0"/>
  </sheetViews>
  <sheetFormatPr defaultRowHeight="14.4" x14ac:dyDescent="0.3"/>
  <cols>
    <col min="1" max="2" width="1.6640625" customWidth="1"/>
    <col min="3" max="3" width="40.33203125" customWidth="1"/>
    <col min="4" max="12" width="11.21875" bestFit="1" customWidth="1"/>
    <col min="13" max="13" width="1.77734375" customWidth="1"/>
  </cols>
  <sheetData>
    <row r="2" spans="3:16" x14ac:dyDescent="0.3">
      <c r="C2" s="2" t="s">
        <v>234</v>
      </c>
    </row>
    <row r="3" spans="3:16" x14ac:dyDescent="0.3">
      <c r="C3" s="14" t="str">
        <f>Model!C12</f>
        <v>Fiscal year</v>
      </c>
      <c r="D3" s="6">
        <f>Model!D12</f>
        <v>2020</v>
      </c>
      <c r="E3" s="6">
        <f>Model!E12</f>
        <v>2021</v>
      </c>
      <c r="F3" s="6">
        <f>Model!F12</f>
        <v>2022</v>
      </c>
      <c r="G3" s="6">
        <f>Model!G12</f>
        <v>2023</v>
      </c>
      <c r="H3" s="7">
        <f>Model!H12</f>
        <v>2024</v>
      </c>
      <c r="I3" s="7">
        <f>Model!I12</f>
        <v>2025</v>
      </c>
      <c r="J3" s="7">
        <f>Model!J12</f>
        <v>2026</v>
      </c>
      <c r="K3" s="7">
        <f>Model!K12</f>
        <v>2027</v>
      </c>
      <c r="L3" s="7">
        <f>Model!L12</f>
        <v>2028</v>
      </c>
      <c r="N3" s="146" t="s">
        <v>26</v>
      </c>
    </row>
    <row r="4" spans="3:16" x14ac:dyDescent="0.3">
      <c r="C4" s="5" t="str">
        <f>Model!C13</f>
        <v>Fiscal year end date</v>
      </c>
      <c r="D4" s="29">
        <f>Model!D13</f>
        <v>44196</v>
      </c>
      <c r="E4" s="29">
        <f>Model!E13</f>
        <v>44561</v>
      </c>
      <c r="F4" s="29">
        <f>Model!F13</f>
        <v>44926</v>
      </c>
      <c r="G4" s="29">
        <f>Model!G13</f>
        <v>45291</v>
      </c>
      <c r="H4" s="29">
        <f>Model!H13</f>
        <v>45657</v>
      </c>
      <c r="I4" s="29">
        <f>Model!I13</f>
        <v>46022</v>
      </c>
      <c r="J4" s="29">
        <f>Model!J13</f>
        <v>46387</v>
      </c>
      <c r="K4" s="29">
        <f>Model!K13</f>
        <v>46752</v>
      </c>
      <c r="L4" s="29">
        <f>Model!L13</f>
        <v>47118</v>
      </c>
      <c r="N4" s="231" t="s">
        <v>27</v>
      </c>
    </row>
    <row r="5" spans="3:16" x14ac:dyDescent="0.3">
      <c r="C5" s="8" t="str">
        <f>Model!C139</f>
        <v>Days per year</v>
      </c>
      <c r="D5" s="201">
        <f>Model!D139</f>
        <v>366</v>
      </c>
      <c r="E5" s="201">
        <f>Model!E139</f>
        <v>365</v>
      </c>
      <c r="F5" s="201">
        <f>Model!F139</f>
        <v>365</v>
      </c>
      <c r="G5" s="201">
        <f>Model!G139</f>
        <v>365</v>
      </c>
      <c r="H5" s="201">
        <f>Model!H139</f>
        <v>366</v>
      </c>
      <c r="I5" s="201">
        <f>Model!I139</f>
        <v>365</v>
      </c>
      <c r="J5" s="201">
        <f>Model!J139</f>
        <v>365</v>
      </c>
      <c r="K5" s="201">
        <f>Model!K139</f>
        <v>365</v>
      </c>
      <c r="L5" s="201">
        <f>Model!L139</f>
        <v>366</v>
      </c>
      <c r="N5" s="45"/>
    </row>
    <row r="6" spans="3:16" x14ac:dyDescent="0.3">
      <c r="C6" t="s">
        <v>256</v>
      </c>
    </row>
    <row r="8" spans="3:16" x14ac:dyDescent="0.3">
      <c r="C8" t="s">
        <v>8</v>
      </c>
      <c r="F8" s="10">
        <v>32558</v>
      </c>
      <c r="G8" s="10">
        <v>48639</v>
      </c>
      <c r="H8" s="12">
        <f t="shared" ref="H8:K8" ca="1" si="0">H11*H13*1000</f>
        <v>67892.334545454549</v>
      </c>
      <c r="I8" s="12">
        <f t="shared" ca="1" si="0"/>
        <v>104498.83636363638</v>
      </c>
      <c r="J8" s="12">
        <f t="shared" ca="1" si="0"/>
        <v>149866.41531100479</v>
      </c>
      <c r="K8" s="12">
        <f t="shared" ca="1" si="0"/>
        <v>203740.41531100479</v>
      </c>
      <c r="L8" s="12">
        <f t="shared" ref="L8" ca="1" si="1">L11*L13*1000</f>
        <v>261921.64822966509</v>
      </c>
      <c r="N8" s="21">
        <f ca="1">((L8/G8)^(1/($L$3-$G$3)))-1</f>
        <v>0.400352436991817</v>
      </c>
      <c r="O8" s="12"/>
      <c r="P8" s="12"/>
    </row>
    <row r="9" spans="3:16" x14ac:dyDescent="0.3">
      <c r="C9" s="159" t="s">
        <v>443</v>
      </c>
      <c r="F9" s="10"/>
      <c r="G9" s="149">
        <f t="shared" ref="G9:L9" si="2">G8/F8-1</f>
        <v>0.49391854536519442</v>
      </c>
      <c r="H9" s="149">
        <f t="shared" ca="1" si="2"/>
        <v>0.39584149644224897</v>
      </c>
      <c r="I9" s="149">
        <f t="shared" ca="1" si="2"/>
        <v>0.53918460844314375</v>
      </c>
      <c r="J9" s="149">
        <f t="shared" ca="1" si="2"/>
        <v>0.43414434577527472</v>
      </c>
      <c r="K9" s="149">
        <f t="shared" ca="1" si="2"/>
        <v>0.3594801402849328</v>
      </c>
      <c r="L9" s="149">
        <f t="shared" ca="1" si="2"/>
        <v>0.28556549681047838</v>
      </c>
      <c r="O9" s="12"/>
      <c r="P9" s="12"/>
    </row>
    <row r="10" spans="3:16" x14ac:dyDescent="0.3">
      <c r="C10" t="s">
        <v>235</v>
      </c>
      <c r="F10" s="10">
        <v>384</v>
      </c>
      <c r="G10" s="10">
        <v>435</v>
      </c>
      <c r="H10" s="81">
        <f t="shared" ref="H10:L10" si="3">G10+(H15/H20)</f>
        <v>644.09090909090912</v>
      </c>
      <c r="I10" s="81">
        <f t="shared" si="3"/>
        <v>994.09090909090912</v>
      </c>
      <c r="J10" s="81">
        <f t="shared" si="3"/>
        <v>1425.6698564593303</v>
      </c>
      <c r="K10" s="81">
        <f t="shared" si="3"/>
        <v>1938.1698564593303</v>
      </c>
      <c r="L10" s="81">
        <f t="shared" si="3"/>
        <v>2484.8365231259968</v>
      </c>
      <c r="M10" s="12"/>
      <c r="N10" s="21">
        <f>((L10/G10)^(1/($L$3-$G$3)))-1</f>
        <v>0.41697345028049493</v>
      </c>
      <c r="O10" s="81"/>
      <c r="P10" s="81"/>
    </row>
    <row r="11" spans="3:16" x14ac:dyDescent="0.3">
      <c r="C11" t="s">
        <v>239</v>
      </c>
      <c r="F11" s="10">
        <v>403</v>
      </c>
      <c r="G11" s="10">
        <v>472</v>
      </c>
      <c r="H11" s="12">
        <f t="shared" ref="H11:K11" ca="1" si="4">(H10*H12*H5*24)/1000</f>
        <v>678.92334545454548</v>
      </c>
      <c r="I11" s="12">
        <f t="shared" ca="1" si="4"/>
        <v>1044.9883636363638</v>
      </c>
      <c r="J11" s="12">
        <f t="shared" ca="1" si="4"/>
        <v>1498.6641531100479</v>
      </c>
      <c r="K11" s="12">
        <f t="shared" ca="1" si="4"/>
        <v>2037.4041531100479</v>
      </c>
      <c r="L11" s="12">
        <f t="shared" ref="L11" ca="1" si="5">(L10*L12*L5*24)/1000</f>
        <v>2619.2164822966506</v>
      </c>
      <c r="N11" s="21">
        <f ca="1">((L11/G11)^(1/($L$3-$G$3)))-1</f>
        <v>0.40878876426934085</v>
      </c>
      <c r="O11" s="12"/>
      <c r="P11" s="12"/>
    </row>
    <row r="12" spans="3:16" x14ac:dyDescent="0.3">
      <c r="C12" t="s">
        <v>255</v>
      </c>
      <c r="F12" s="22">
        <f>F11/((F10*F5*24)/1000)</f>
        <v>0.11980355783866058</v>
      </c>
      <c r="G12" s="22">
        <f>G11/((G10*G5*24)/1000)</f>
        <v>0.12386500813520181</v>
      </c>
      <c r="H12" s="120">
        <f ca="1">_xlfn.XLOOKUP(H$3,'Scenario Analysis'!$G$3:$K$3,'Scenario Analysis'!$G$20:$K$20)</f>
        <v>0.12</v>
      </c>
      <c r="I12" s="120">
        <f ca="1">_xlfn.XLOOKUP(I$3,'Scenario Analysis'!$G$3:$K$3,'Scenario Analysis'!$G$20:$K$20)</f>
        <v>0.12</v>
      </c>
      <c r="J12" s="120">
        <f ca="1">_xlfn.XLOOKUP(J$3,'Scenario Analysis'!$G$3:$K$3,'Scenario Analysis'!$G$20:$K$20)</f>
        <v>0.12</v>
      </c>
      <c r="K12" s="120">
        <f ca="1">_xlfn.XLOOKUP(K$3,'Scenario Analysis'!$G$3:$K$3,'Scenario Analysis'!$G$20:$K$20)</f>
        <v>0.12</v>
      </c>
      <c r="L12" s="120">
        <f ca="1">_xlfn.XLOOKUP(L$3,'Scenario Analysis'!$G$3:$K$3,'Scenario Analysis'!$G$20:$K$20)</f>
        <v>0.12</v>
      </c>
      <c r="O12" s="120"/>
      <c r="P12" s="120"/>
    </row>
    <row r="13" spans="3:16" x14ac:dyDescent="0.3">
      <c r="C13" t="s">
        <v>371</v>
      </c>
      <c r="F13" s="168">
        <f>((F8/F11)/1000000)*1000</f>
        <v>8.0789081885856082E-2</v>
      </c>
      <c r="G13" s="168">
        <f>((G8/G11)/1000000)*1000</f>
        <v>0.10304872881355932</v>
      </c>
      <c r="H13" s="170">
        <f ca="1">_xlfn.XLOOKUP(H$3,'Scenario Analysis'!$G$3:$K$3,'Scenario Analysis'!$G$21:$K$21)</f>
        <v>0.1</v>
      </c>
      <c r="I13" s="170">
        <f ca="1">_xlfn.XLOOKUP(I$3,'Scenario Analysis'!$G$3:$K$3,'Scenario Analysis'!$G$21:$K$21)</f>
        <v>0.1</v>
      </c>
      <c r="J13" s="170">
        <f ca="1">_xlfn.XLOOKUP(J$3,'Scenario Analysis'!$G$3:$K$3,'Scenario Analysis'!$G$21:$K$21)</f>
        <v>0.1</v>
      </c>
      <c r="K13" s="170">
        <f ca="1">_xlfn.XLOOKUP(K$3,'Scenario Analysis'!$G$3:$K$3,'Scenario Analysis'!$G$21:$K$21)</f>
        <v>0.1</v>
      </c>
      <c r="L13" s="170">
        <f ca="1">_xlfn.XLOOKUP(L$3,'Scenario Analysis'!$G$3:$K$3,'Scenario Analysis'!$G$21:$K$21)</f>
        <v>0.1</v>
      </c>
      <c r="O13" s="170"/>
      <c r="P13" s="170"/>
    </row>
    <row r="14" spans="3:16" x14ac:dyDescent="0.3">
      <c r="G14" s="12"/>
      <c r="H14" s="12"/>
      <c r="I14" s="12"/>
      <c r="J14" s="12"/>
      <c r="K14" s="12"/>
      <c r="L14" s="12"/>
      <c r="O14" s="12"/>
      <c r="P14" s="12"/>
    </row>
    <row r="15" spans="3:16" x14ac:dyDescent="0.3">
      <c r="C15" t="s">
        <v>224</v>
      </c>
      <c r="F15" s="10">
        <v>44000</v>
      </c>
      <c r="G15" s="10">
        <v>77000</v>
      </c>
      <c r="H15" s="10">
        <v>230000</v>
      </c>
      <c r="I15" s="10">
        <v>350000</v>
      </c>
      <c r="J15" s="10">
        <v>410000</v>
      </c>
      <c r="K15" s="10">
        <v>410000</v>
      </c>
      <c r="L15" s="10">
        <v>410000</v>
      </c>
      <c r="N15" s="21">
        <f>((L15/G15)^(1/($L$3-$G$3)))-1</f>
        <v>0.39720015874762926</v>
      </c>
      <c r="O15" s="10"/>
      <c r="P15" s="10"/>
    </row>
    <row r="16" spans="3:16" x14ac:dyDescent="0.3">
      <c r="C16" s="28" t="s">
        <v>242</v>
      </c>
      <c r="D16" s="120">
        <f>_xlfn.XLOOKUP(D3,Model!198:198,Model!208:208)</f>
        <v>0.97996189383919574</v>
      </c>
      <c r="E16" s="120">
        <f>_xlfn.XLOOKUP(E3,Model!198:198,Model!208:208)</f>
        <v>0.97818906006146888</v>
      </c>
      <c r="F16" s="120">
        <f>_xlfn.XLOOKUP(F3,Model!198:198,Model!208:208)</f>
        <v>0.96792693196294777</v>
      </c>
      <c r="G16" s="120">
        <f>_xlfn.XLOOKUP(G3,Model!198:198,Model!208:208)</f>
        <v>0.97737827139080447</v>
      </c>
      <c r="H16" s="26">
        <f>G16</f>
        <v>0.97737827139080447</v>
      </c>
      <c r="I16" s="26">
        <f t="shared" ref="I16:L16" si="6">H16</f>
        <v>0.97737827139080447</v>
      </c>
      <c r="J16" s="26">
        <f t="shared" si="6"/>
        <v>0.97737827139080447</v>
      </c>
      <c r="K16" s="26">
        <f t="shared" si="6"/>
        <v>0.97737827139080447</v>
      </c>
      <c r="L16" s="26">
        <f t="shared" si="6"/>
        <v>0.97737827139080447</v>
      </c>
      <c r="O16" s="26"/>
      <c r="P16" s="26"/>
    </row>
    <row r="17" spans="3:16" x14ac:dyDescent="0.3">
      <c r="C17" s="28" t="s">
        <v>243</v>
      </c>
      <c r="D17" s="120">
        <f>_xlfn.XLOOKUP(D3,Model!233:233,Model!243:243)</f>
        <v>2.00381061608043E-2</v>
      </c>
      <c r="E17" s="120">
        <f>_xlfn.XLOOKUP(E3,Model!233:233,Model!243:243)</f>
        <v>2.1810939938531063E-2</v>
      </c>
      <c r="F17" s="120">
        <f>_xlfn.XLOOKUP(F3,Model!233:233,Model!243:243)</f>
        <v>3.2073068037052233E-2</v>
      </c>
      <c r="G17" s="120">
        <f>_xlfn.XLOOKUP(G3,Model!233:233,Model!243:243)</f>
        <v>2.2621728609195563E-2</v>
      </c>
      <c r="H17" s="26">
        <f t="shared" ref="H17:L17" si="7">G17</f>
        <v>2.2621728609195563E-2</v>
      </c>
      <c r="I17" s="26">
        <f t="shared" si="7"/>
        <v>2.2621728609195563E-2</v>
      </c>
      <c r="J17" s="26">
        <f t="shared" si="7"/>
        <v>2.2621728609195563E-2</v>
      </c>
      <c r="K17" s="26">
        <f t="shared" si="7"/>
        <v>2.2621728609195563E-2</v>
      </c>
      <c r="L17" s="26">
        <f t="shared" si="7"/>
        <v>2.2621728609195563E-2</v>
      </c>
      <c r="O17" s="26"/>
      <c r="P17" s="26"/>
    </row>
    <row r="18" spans="3:16" x14ac:dyDescent="0.3">
      <c r="C18" s="28" t="s">
        <v>245</v>
      </c>
      <c r="F18" s="81">
        <f t="shared" ref="F18:K19" si="8">F$15*F16</f>
        <v>42588.785006369704</v>
      </c>
      <c r="G18" s="81">
        <f t="shared" ref="G18" si="9">G$15*G16</f>
        <v>75258.126897091948</v>
      </c>
      <c r="H18" s="81">
        <f t="shared" si="8"/>
        <v>224797.00241988502</v>
      </c>
      <c r="I18" s="81">
        <f t="shared" si="8"/>
        <v>342082.39498678158</v>
      </c>
      <c r="J18" s="81">
        <f t="shared" si="8"/>
        <v>400725.09127022984</v>
      </c>
      <c r="K18" s="81">
        <f t="shared" si="8"/>
        <v>400725.09127022984</v>
      </c>
      <c r="L18" s="81">
        <f t="shared" ref="L18" si="10">L$15*L16</f>
        <v>400725.09127022984</v>
      </c>
      <c r="O18" s="81"/>
      <c r="P18" s="81"/>
    </row>
    <row r="19" spans="3:16" x14ac:dyDescent="0.3">
      <c r="C19" s="28" t="s">
        <v>244</v>
      </c>
      <c r="F19" s="81">
        <f t="shared" si="8"/>
        <v>1411.2149936302983</v>
      </c>
      <c r="G19" s="81">
        <f t="shared" ref="G19" si="11">G$15*G17</f>
        <v>1741.8731029080584</v>
      </c>
      <c r="H19" s="81">
        <f t="shared" si="8"/>
        <v>5202.9975801149794</v>
      </c>
      <c r="I19" s="81">
        <f t="shared" si="8"/>
        <v>7917.6050132184473</v>
      </c>
      <c r="J19" s="81">
        <f t="shared" si="8"/>
        <v>9274.9087297701808</v>
      </c>
      <c r="K19" s="81">
        <f t="shared" si="8"/>
        <v>9274.9087297701808</v>
      </c>
      <c r="L19" s="81">
        <f t="shared" ref="L19" si="12">L$15*L17</f>
        <v>9274.9087297701808</v>
      </c>
      <c r="O19" s="81"/>
      <c r="P19" s="81"/>
    </row>
    <row r="20" spans="3:16" x14ac:dyDescent="0.3">
      <c r="C20" s="28" t="s">
        <v>269</v>
      </c>
      <c r="F20" s="81"/>
      <c r="G20" s="81">
        <f>G18/(G10-F10)</f>
        <v>1475.6495470018028</v>
      </c>
      <c r="H20" s="10">
        <v>1100</v>
      </c>
      <c r="I20" s="10">
        <v>1000</v>
      </c>
      <c r="J20" s="10">
        <v>950</v>
      </c>
      <c r="K20" s="10">
        <v>800</v>
      </c>
      <c r="L20" s="10">
        <v>750</v>
      </c>
      <c r="N20" s="21">
        <f>((L20/G20)^(1/($L$3-$G$3)))-1</f>
        <v>-0.12659513453778015</v>
      </c>
      <c r="O20" s="10"/>
      <c r="P20" s="10"/>
    </row>
    <row r="22" spans="3:16" x14ac:dyDescent="0.3">
      <c r="C22" s="23" t="s">
        <v>393</v>
      </c>
      <c r="H22" s="12">
        <f t="shared" ref="H22:K22" ca="1" si="13">H8-H23</f>
        <v>16973.083636363634</v>
      </c>
      <c r="I22" s="12">
        <f t="shared" ca="1" si="13"/>
        <v>26124.709090909091</v>
      </c>
      <c r="J22" s="12">
        <f t="shared" ca="1" si="13"/>
        <v>37466.603827751198</v>
      </c>
      <c r="K22" s="12">
        <f t="shared" ca="1" si="13"/>
        <v>50935.103827751183</v>
      </c>
      <c r="L22" s="12">
        <f t="shared" ref="L22" ca="1" si="14">L8-L23</f>
        <v>65480.412057416281</v>
      </c>
      <c r="N22" s="12"/>
      <c r="O22" s="12"/>
    </row>
    <row r="23" spans="3:16" x14ac:dyDescent="0.3">
      <c r="C23" s="23" t="s">
        <v>412</v>
      </c>
      <c r="H23" s="12">
        <f t="shared" ref="H23:K23" ca="1" si="15">H24*H8</f>
        <v>50919.250909090915</v>
      </c>
      <c r="I23" s="12">
        <f t="shared" ca="1" si="15"/>
        <v>78374.127272727288</v>
      </c>
      <c r="J23" s="12">
        <f t="shared" ca="1" si="15"/>
        <v>112399.81148325359</v>
      </c>
      <c r="K23" s="12">
        <f t="shared" ca="1" si="15"/>
        <v>152805.31148325361</v>
      </c>
      <c r="L23" s="12">
        <f t="shared" ref="L23" ca="1" si="16">L24*L8</f>
        <v>196441.23617224881</v>
      </c>
      <c r="N23" s="12"/>
      <c r="O23" s="12"/>
    </row>
    <row r="24" spans="3:16" x14ac:dyDescent="0.3">
      <c r="C24" s="28" t="s">
        <v>257</v>
      </c>
      <c r="H24" s="120">
        <f ca="1">_xlfn.XLOOKUP(H$3,'Scenario Analysis'!$G$3:$K$3,'Scenario Analysis'!$G$22:$K$22)</f>
        <v>0.75</v>
      </c>
      <c r="I24" s="120">
        <f ca="1">_xlfn.XLOOKUP(I$3,'Scenario Analysis'!$G$3:$K$3,'Scenario Analysis'!$G$22:$K$22)</f>
        <v>0.75</v>
      </c>
      <c r="J24" s="120">
        <f ca="1">_xlfn.XLOOKUP(J$3,'Scenario Analysis'!$G$3:$K$3,'Scenario Analysis'!$G$22:$K$22)</f>
        <v>0.75</v>
      </c>
      <c r="K24" s="120">
        <f ca="1">_xlfn.XLOOKUP(K$3,'Scenario Analysis'!$G$3:$K$3,'Scenario Analysis'!$G$22:$K$22)</f>
        <v>0.75</v>
      </c>
      <c r="L24" s="120">
        <f ca="1">_xlfn.XLOOKUP(L$3,'Scenario Analysis'!$G$3:$K$3,'Scenario Analysis'!$G$22:$K$22)</f>
        <v>0.75</v>
      </c>
      <c r="N24" s="120"/>
      <c r="O24" s="120"/>
    </row>
    <row r="25" spans="3:16" x14ac:dyDescent="0.3">
      <c r="C25" s="23" t="s">
        <v>13</v>
      </c>
      <c r="F25" s="10">
        <v>18000</v>
      </c>
      <c r="G25" s="10">
        <v>29000</v>
      </c>
      <c r="H25" s="12">
        <f t="shared" ref="H25:K25" ca="1" si="17">H26*H8</f>
        <v>40735.400727272725</v>
      </c>
      <c r="I25" s="12">
        <f t="shared" ca="1" si="17"/>
        <v>63744.290181818193</v>
      </c>
      <c r="J25" s="12">
        <f t="shared" ca="1" si="17"/>
        <v>92917.177492822972</v>
      </c>
      <c r="K25" s="12">
        <f t="shared" ca="1" si="17"/>
        <v>128356.46164593301</v>
      </c>
      <c r="L25" s="12">
        <f t="shared" ref="L25" ca="1" si="18">L26*L8</f>
        <v>167629.85486698567</v>
      </c>
      <c r="N25" s="21">
        <f ca="1">((L25/G25)^(1/($L$3-$G$3)))-1</f>
        <v>0.42033462430733093</v>
      </c>
      <c r="O25" s="12"/>
    </row>
    <row r="26" spans="3:16" x14ac:dyDescent="0.3">
      <c r="C26" s="28" t="s">
        <v>257</v>
      </c>
      <c r="F26" s="22">
        <f>F25/F8</f>
        <v>0.55285951225505248</v>
      </c>
      <c r="G26" s="22">
        <f>G25/G8</f>
        <v>0.59622936326815934</v>
      </c>
      <c r="H26" s="120">
        <f ca="1">_xlfn.XLOOKUP(H$3,'Scenario Analysis'!$G$3:$K$3,'Scenario Analysis'!$G$23:$K$23)</f>
        <v>0.6</v>
      </c>
      <c r="I26" s="120">
        <f ca="1">_xlfn.XLOOKUP(I$3,'Scenario Analysis'!$G$3:$K$3,'Scenario Analysis'!$G$23:$K$23)</f>
        <v>0.61</v>
      </c>
      <c r="J26" s="120">
        <f ca="1">_xlfn.XLOOKUP(J$3,'Scenario Analysis'!$G$3:$K$3,'Scenario Analysis'!$G$23:$K$23)</f>
        <v>0.62</v>
      </c>
      <c r="K26" s="120">
        <f ca="1">_xlfn.XLOOKUP(K$3,'Scenario Analysis'!$G$3:$K$3,'Scenario Analysis'!$G$23:$K$23)</f>
        <v>0.63</v>
      </c>
      <c r="L26" s="120">
        <f ca="1">_xlfn.XLOOKUP(L$3,'Scenario Analysis'!$G$3:$K$3,'Scenario Analysis'!$G$23:$K$23)</f>
        <v>0.64</v>
      </c>
      <c r="N26" s="120"/>
      <c r="O26" s="120"/>
    </row>
    <row r="27" spans="3:16" x14ac:dyDescent="0.3">
      <c r="C27" t="s">
        <v>413</v>
      </c>
      <c r="H27" s="195" t="str">
        <f t="shared" ref="H27:K27" ca="1" si="19">IF(H24&gt;H26,"yes","no")</f>
        <v>yes</v>
      </c>
      <c r="I27" s="195" t="str">
        <f t="shared" ca="1" si="19"/>
        <v>yes</v>
      </c>
      <c r="J27" s="195" t="str">
        <f t="shared" ca="1" si="19"/>
        <v>yes</v>
      </c>
      <c r="K27" s="195" t="str">
        <f t="shared" ca="1" si="19"/>
        <v>yes</v>
      </c>
      <c r="L27" s="195" t="str">
        <f t="shared" ref="L27" ca="1" si="20">IF(L24&gt;L26,"yes","no")</f>
        <v>yes</v>
      </c>
      <c r="N27" s="195"/>
      <c r="O27" s="195"/>
    </row>
    <row r="28" spans="3:16" x14ac:dyDescent="0.3">
      <c r="G28" s="195"/>
      <c r="H28" s="195"/>
      <c r="I28" s="195"/>
      <c r="J28" s="195"/>
      <c r="K28" s="195"/>
    </row>
    <row r="29" spans="3:16" x14ac:dyDescent="0.3">
      <c r="L29" s="142" t="str">
        <f>UPPER("Active scenario: "&amp;'Scenario Analysis'!$D$3)</f>
        <v>ACTIVE SCENARIO: BASE CASE</v>
      </c>
    </row>
    <row r="30" spans="3:16" x14ac:dyDescent="0.3">
      <c r="C30" s="23"/>
      <c r="G30" s="12"/>
      <c r="H30" s="12"/>
      <c r="I30" s="12"/>
      <c r="J30" s="12"/>
      <c r="K30" s="12"/>
    </row>
    <row r="31" spans="3:16" x14ac:dyDescent="0.3">
      <c r="C31" s="23"/>
      <c r="G31" s="236"/>
      <c r="H31" s="82"/>
      <c r="I31" s="82"/>
      <c r="J31" s="82"/>
      <c r="K31" s="82"/>
    </row>
    <row r="32" spans="3:16" x14ac:dyDescent="0.3">
      <c r="C32" s="28"/>
      <c r="G32" s="236"/>
      <c r="H32" s="237"/>
      <c r="J32" s="21"/>
    </row>
    <row r="33" spans="3:10" x14ac:dyDescent="0.3">
      <c r="C33" s="28"/>
      <c r="G33" s="236"/>
      <c r="H33" s="237"/>
      <c r="J33" s="21"/>
    </row>
    <row r="34" spans="3:10" x14ac:dyDescent="0.3">
      <c r="C34" s="28"/>
    </row>
  </sheetData>
  <conditionalFormatting sqref="H27:L27 G28:K28">
    <cfRule type="containsText" dxfId="3" priority="5" operator="containsText" text="no">
      <formula>NOT(ISERROR(SEARCH("no",G27)))</formula>
    </cfRule>
    <cfRule type="containsText" dxfId="2" priority="6" operator="containsText" text="yes">
      <formula>NOT(ISERROR(SEARCH("yes",G27)))</formula>
    </cfRule>
  </conditionalFormatting>
  <conditionalFormatting sqref="N27:O27">
    <cfRule type="containsText" dxfId="1" priority="1" operator="containsText" text="no">
      <formula>NOT(ISERROR(SEARCH("no",N27)))</formula>
    </cfRule>
    <cfRule type="containsText" dxfId="0" priority="2" operator="containsText" text="yes">
      <formula>NOT(ISERROR(SEARCH("yes",N27)))</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02B7-8C1D-4B0B-ABDC-84AD51849261}">
  <sheetPr codeName="Sheet7"/>
  <dimension ref="C1:F29"/>
  <sheetViews>
    <sheetView workbookViewId="0"/>
  </sheetViews>
  <sheetFormatPr defaultRowHeight="14.4" x14ac:dyDescent="0.3"/>
  <cols>
    <col min="1" max="2" width="2.109375" customWidth="1"/>
    <col min="3" max="3" width="44.5546875" customWidth="1"/>
    <col min="4" max="6" width="11.109375" customWidth="1"/>
  </cols>
  <sheetData>
    <row r="1" spans="3:6" ht="15" thickBot="1" x14ac:dyDescent="0.35"/>
    <row r="2" spans="3:6" ht="15" thickBot="1" x14ac:dyDescent="0.35">
      <c r="C2" s="143" t="s">
        <v>315</v>
      </c>
      <c r="D2" s="144"/>
      <c r="E2" s="144"/>
      <c r="F2" s="144"/>
    </row>
    <row r="3" spans="3:6" x14ac:dyDescent="0.3">
      <c r="C3" t="s">
        <v>215</v>
      </c>
    </row>
    <row r="4" spans="3:6" x14ac:dyDescent="0.3">
      <c r="C4" t="s">
        <v>316</v>
      </c>
      <c r="F4" s="151">
        <f ca="1">Model!D6</f>
        <v>22.38</v>
      </c>
    </row>
    <row r="5" spans="3:6" x14ac:dyDescent="0.3">
      <c r="C5" t="s">
        <v>310</v>
      </c>
      <c r="F5" s="145">
        <f ca="1">TODAY()</f>
        <v>45611</v>
      </c>
    </row>
    <row r="7" spans="3:6" x14ac:dyDescent="0.3">
      <c r="C7" s="44" t="s">
        <v>317</v>
      </c>
      <c r="D7" s="45"/>
      <c r="E7" s="45"/>
      <c r="F7" s="45"/>
    </row>
    <row r="8" spans="3:6" x14ac:dyDescent="0.3">
      <c r="D8" s="42" t="s">
        <v>318</v>
      </c>
      <c r="E8" s="42" t="s">
        <v>319</v>
      </c>
      <c r="F8" s="42" t="s">
        <v>320</v>
      </c>
    </row>
    <row r="9" spans="3:6" x14ac:dyDescent="0.3">
      <c r="D9" s="152" t="s">
        <v>321</v>
      </c>
      <c r="E9" s="152" t="s">
        <v>322</v>
      </c>
      <c r="F9" s="152" t="s">
        <v>321</v>
      </c>
    </row>
    <row r="10" spans="3:6" x14ac:dyDescent="0.3">
      <c r="C10" t="s">
        <v>323</v>
      </c>
      <c r="D10" s="10">
        <v>0</v>
      </c>
      <c r="E10" s="4">
        <v>52.04</v>
      </c>
      <c r="F10" s="12">
        <f ca="1">IF(E10&lt;=$F$4,D10,0)</f>
        <v>0</v>
      </c>
    </row>
    <row r="11" spans="3:6" x14ac:dyDescent="0.3">
      <c r="C11" t="s">
        <v>324</v>
      </c>
      <c r="D11" s="10">
        <v>84740</v>
      </c>
      <c r="E11" s="4">
        <v>29.71</v>
      </c>
      <c r="F11" s="12">
        <f ca="1">IF(E11&lt;=$F$4,D11,0)</f>
        <v>0</v>
      </c>
    </row>
    <row r="12" spans="3:6" x14ac:dyDescent="0.3">
      <c r="C12" t="s">
        <v>325</v>
      </c>
      <c r="D12" s="10">
        <v>5616</v>
      </c>
      <c r="E12" s="4">
        <v>40.47</v>
      </c>
      <c r="F12" s="12">
        <f ca="1">IF(E12&lt;=$F$4,D12,0)</f>
        <v>0</v>
      </c>
    </row>
    <row r="13" spans="3:6" x14ac:dyDescent="0.3">
      <c r="C13" t="s">
        <v>326</v>
      </c>
      <c r="D13" s="12">
        <f>SUM(D10:D12)</f>
        <v>90356</v>
      </c>
      <c r="F13" s="12">
        <f ca="1">SUM(F10:F12)</f>
        <v>0</v>
      </c>
    </row>
    <row r="14" spans="3:6" x14ac:dyDescent="0.3">
      <c r="F14" s="12"/>
    </row>
    <row r="15" spans="3:6" x14ac:dyDescent="0.3">
      <c r="C15" t="s">
        <v>327</v>
      </c>
      <c r="F15" s="12">
        <f ca="1">SUMPRODUCT(F10:F12,E10:E12)/1000</f>
        <v>0</v>
      </c>
    </row>
    <row r="16" spans="3:6" x14ac:dyDescent="0.3">
      <c r="C16" t="s">
        <v>328</v>
      </c>
      <c r="F16" s="12">
        <f ca="1">-F15/F4</f>
        <v>0</v>
      </c>
    </row>
    <row r="17" spans="3:6" x14ac:dyDescent="0.3">
      <c r="C17" s="2" t="s">
        <v>329</v>
      </c>
      <c r="F17" s="11">
        <f ca="1">F13+F16</f>
        <v>0</v>
      </c>
    </row>
    <row r="20" spans="3:6" x14ac:dyDescent="0.3">
      <c r="C20" s="44" t="s">
        <v>331</v>
      </c>
      <c r="D20" s="44"/>
      <c r="E20" s="44"/>
      <c r="F20" s="44"/>
    </row>
    <row r="22" spans="3:6" x14ac:dyDescent="0.3">
      <c r="C22" s="2" t="s">
        <v>313</v>
      </c>
    </row>
    <row r="23" spans="3:6" x14ac:dyDescent="0.3">
      <c r="C23" t="s">
        <v>333</v>
      </c>
    </row>
    <row r="24" spans="3:6" x14ac:dyDescent="0.3">
      <c r="C24" t="s">
        <v>334</v>
      </c>
      <c r="F24" s="10"/>
    </row>
    <row r="25" spans="3:6" x14ac:dyDescent="0.3">
      <c r="C25" t="s">
        <v>335</v>
      </c>
    </row>
    <row r="26" spans="3:6" x14ac:dyDescent="0.3">
      <c r="C26" t="s">
        <v>336</v>
      </c>
      <c r="F26" s="50"/>
    </row>
    <row r="27" spans="3:6" x14ac:dyDescent="0.3">
      <c r="C27" t="s">
        <v>337</v>
      </c>
    </row>
    <row r="29" spans="3:6" x14ac:dyDescent="0.3">
      <c r="C29" s="2" t="s">
        <v>338</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F156-8B51-4883-9867-A19379732B33}">
  <sheetPr codeName="Sheet8"/>
  <dimension ref="B1:P115"/>
  <sheetViews>
    <sheetView tabSelected="1" zoomScaleNormal="100" workbookViewId="0"/>
  </sheetViews>
  <sheetFormatPr defaultRowHeight="14.4" x14ac:dyDescent="0.3"/>
  <cols>
    <col min="1" max="1" width="1.88671875" customWidth="1"/>
    <col min="2" max="2" width="1.77734375" customWidth="1"/>
    <col min="3" max="3" width="48.88671875" bestFit="1" customWidth="1"/>
    <col min="4" max="5" width="11.21875" bestFit="1" customWidth="1"/>
    <col min="6" max="6" width="11.77734375" customWidth="1"/>
    <col min="7" max="10" width="11.21875" bestFit="1" customWidth="1"/>
    <col min="11" max="11" width="1.77734375" customWidth="1"/>
  </cols>
  <sheetData>
    <row r="1" spans="2:13" ht="15" thickBot="1" x14ac:dyDescent="0.35"/>
    <row r="2" spans="2:13" ht="15" thickBot="1" x14ac:dyDescent="0.35">
      <c r="C2" s="143" t="str" cm="1">
        <f t="array" aca="1" ref="C2" ca="1">"Discounted Cash Flow Valuation for "&amp;_FV(Cover!D4,"Name")</f>
        <v>Discounted Cash Flow Valuation for Rubis SCA</v>
      </c>
      <c r="D2" s="144"/>
      <c r="E2" s="144"/>
      <c r="F2" s="144"/>
      <c r="G2" s="144"/>
      <c r="H2" s="144"/>
      <c r="I2" s="144"/>
      <c r="J2" s="144"/>
    </row>
    <row r="3" spans="2:13" x14ac:dyDescent="0.3">
      <c r="C3" t="s">
        <v>215</v>
      </c>
    </row>
    <row r="5" spans="2:13" x14ac:dyDescent="0.3">
      <c r="C5" t="s">
        <v>3</v>
      </c>
      <c r="D5" s="224">
        <f>Cover!D15</f>
        <v>45291</v>
      </c>
      <c r="F5" t="s">
        <v>282</v>
      </c>
      <c r="H5" s="22">
        <f ca="1">J113</f>
        <v>0.1712596344827586</v>
      </c>
    </row>
    <row r="6" spans="2:13" x14ac:dyDescent="0.3">
      <c r="C6" t="s">
        <v>279</v>
      </c>
      <c r="D6" s="145">
        <f>EOMONTH(D5,12)</f>
        <v>45657</v>
      </c>
      <c r="F6" t="s">
        <v>283</v>
      </c>
      <c r="H6" s="97">
        <f ca="1">Cover!D7</f>
        <v>22.38</v>
      </c>
    </row>
    <row r="7" spans="2:13" x14ac:dyDescent="0.3">
      <c r="C7" t="s">
        <v>280</v>
      </c>
      <c r="D7" s="3">
        <v>45461</v>
      </c>
      <c r="F7" t="s">
        <v>284</v>
      </c>
      <c r="H7" s="90">
        <f ca="1">TODAY()</f>
        <v>45611</v>
      </c>
    </row>
    <row r="8" spans="2:13" x14ac:dyDescent="0.3">
      <c r="C8" t="s">
        <v>281</v>
      </c>
      <c r="D8" s="22">
        <f>YEARFRAC(D7,D6)</f>
        <v>0.53611111111111109</v>
      </c>
      <c r="F8" t="s">
        <v>285</v>
      </c>
      <c r="H8" s="1">
        <v>1</v>
      </c>
    </row>
    <row r="11" spans="2:13" x14ac:dyDescent="0.3">
      <c r="B11" t="s">
        <v>7</v>
      </c>
      <c r="C11" s="2" t="s">
        <v>343</v>
      </c>
      <c r="J11" s="142" t="str">
        <f>UPPER("Active scenario: "&amp;'Scenario Analysis'!$D$3)</f>
        <v>ACTIVE SCENARIO: BASE CASE</v>
      </c>
      <c r="L11" s="45"/>
    </row>
    <row r="12" spans="2:13" x14ac:dyDescent="0.3">
      <c r="C12" s="14"/>
      <c r="D12" s="147" t="s">
        <v>286</v>
      </c>
      <c r="E12" s="147"/>
      <c r="F12" s="147" t="s">
        <v>287</v>
      </c>
      <c r="G12" s="147"/>
      <c r="H12" s="147"/>
      <c r="I12" s="147"/>
      <c r="J12" s="147"/>
      <c r="L12" s="42">
        <v>5</v>
      </c>
    </row>
    <row r="13" spans="2:13" x14ac:dyDescent="0.3">
      <c r="C13" s="5" t="str">
        <f>Model!C13</f>
        <v>Fiscal year end date</v>
      </c>
      <c r="D13" s="29">
        <f>Model!F13</f>
        <v>44926</v>
      </c>
      <c r="E13" s="29">
        <f>Model!G13</f>
        <v>45291</v>
      </c>
      <c r="F13" s="29">
        <f>Model!H13</f>
        <v>45657</v>
      </c>
      <c r="G13" s="29">
        <f>Model!I13</f>
        <v>46022</v>
      </c>
      <c r="H13" s="29">
        <f>Model!J13</f>
        <v>46387</v>
      </c>
      <c r="I13" s="29">
        <f>Model!K13</f>
        <v>46752</v>
      </c>
      <c r="J13" s="29">
        <f>Model!L13</f>
        <v>47118</v>
      </c>
      <c r="L13" s="42" t="s">
        <v>484</v>
      </c>
    </row>
    <row r="14" spans="2:13" x14ac:dyDescent="0.3">
      <c r="C14" s="8" t="str">
        <f>Model!C139</f>
        <v>Days per year</v>
      </c>
      <c r="D14" s="8">
        <f>Model!E139</f>
        <v>365</v>
      </c>
      <c r="E14" s="8">
        <f>Model!F139</f>
        <v>365</v>
      </c>
      <c r="F14" s="8">
        <f>Model!G139</f>
        <v>365</v>
      </c>
      <c r="G14" s="8">
        <f>Model!H139</f>
        <v>366</v>
      </c>
      <c r="H14" s="8">
        <f>Model!I139</f>
        <v>365</v>
      </c>
      <c r="I14" s="8">
        <f>Model!J139</f>
        <v>365</v>
      </c>
      <c r="J14" s="8">
        <f>Model!K139</f>
        <v>365</v>
      </c>
      <c r="L14" s="152" t="s">
        <v>27</v>
      </c>
    </row>
    <row r="16" spans="2:13" x14ac:dyDescent="0.3">
      <c r="C16" t="s">
        <v>483</v>
      </c>
      <c r="D16" s="12"/>
      <c r="E16" s="121">
        <f>Model!G112</f>
        <v>562618</v>
      </c>
      <c r="F16" s="121">
        <f ca="1">Model!H112</f>
        <v>412160.63684425817</v>
      </c>
      <c r="G16" s="121">
        <f ca="1">Model!I112</f>
        <v>542119.78884593188</v>
      </c>
      <c r="H16" s="121">
        <f ca="1">Model!J112</f>
        <v>406292.11591301172</v>
      </c>
      <c r="I16" s="121">
        <f ca="1">Model!K112</f>
        <v>628091.04319024668</v>
      </c>
      <c r="J16" s="121">
        <f ca="1">Model!L112</f>
        <v>617679.10882160347</v>
      </c>
      <c r="L16" s="233">
        <f ca="1">((J16/E16)^(1/COUNTA($F$13:$J$13)))-1</f>
        <v>1.8849081005068991E-2</v>
      </c>
      <c r="M16" s="21"/>
    </row>
    <row r="17" spans="3:12" x14ac:dyDescent="0.3">
      <c r="C17" t="s">
        <v>441</v>
      </c>
      <c r="E17" s="121">
        <f>-Model!G299</f>
        <v>12370</v>
      </c>
      <c r="F17" s="121">
        <f ca="1">-Model!H299</f>
        <v>12209.586678877373</v>
      </c>
      <c r="G17" s="121">
        <f ca="1">-Model!I299</f>
        <v>12501.083183603139</v>
      </c>
      <c r="H17" s="121">
        <f ca="1">-Model!J299</f>
        <v>12717.199360389453</v>
      </c>
      <c r="I17" s="121">
        <f ca="1">-Model!K299</f>
        <v>13104.133138453843</v>
      </c>
      <c r="J17" s="121">
        <f ca="1">-Model!L299</f>
        <v>14566.154936280258</v>
      </c>
    </row>
    <row r="18" spans="3:12" x14ac:dyDescent="0.3">
      <c r="C18" t="s">
        <v>442</v>
      </c>
      <c r="E18" s="121">
        <f>Model!G293</f>
        <v>-36516</v>
      </c>
      <c r="F18" s="121">
        <f>Model!H293</f>
        <v>-48734.696411001176</v>
      </c>
      <c r="G18" s="121">
        <f ca="1">Model!I293</f>
        <v>-54197.394945855485</v>
      </c>
      <c r="H18" s="121">
        <f ca="1">Model!J293</f>
        <v>-58387.36628413041</v>
      </c>
      <c r="I18" s="121">
        <f ca="1">Model!K293</f>
        <v>-62683.847276546003</v>
      </c>
      <c r="J18" s="121">
        <f ca="1">Model!L293</f>
        <v>-68394.278886925953</v>
      </c>
    </row>
    <row r="19" spans="3:12" x14ac:dyDescent="0.3">
      <c r="C19" t="s">
        <v>288</v>
      </c>
      <c r="E19" s="121">
        <f>Model!G117</f>
        <v>-313051</v>
      </c>
      <c r="F19" s="121">
        <f>Model!H117</f>
        <v>-300329</v>
      </c>
      <c r="G19" s="121">
        <f>Model!I117</f>
        <v>-473000.00000000006</v>
      </c>
      <c r="H19" s="121">
        <f>Model!J117</f>
        <v>-533000</v>
      </c>
      <c r="I19" s="121">
        <f>Model!K117</f>
        <v>-532000</v>
      </c>
      <c r="J19" s="121">
        <f>Model!L117</f>
        <v>-616000</v>
      </c>
      <c r="L19" s="233">
        <f>((J19/E19)^(1/COUNTA($F$13:$J$13)))-1</f>
        <v>0.14496740504784444</v>
      </c>
    </row>
    <row r="20" spans="3:12" x14ac:dyDescent="0.3">
      <c r="C20" s="23" t="s">
        <v>482</v>
      </c>
      <c r="E20" s="12">
        <f>E27-D27</f>
        <v>4447</v>
      </c>
      <c r="F20" s="12">
        <f>F27-E27</f>
        <v>-151500</v>
      </c>
      <c r="G20" s="12">
        <f t="shared" ref="G20:J20" si="0">G27-F27</f>
        <v>247695.30000000005</v>
      </c>
      <c r="H20" s="12">
        <f t="shared" si="0"/>
        <v>298695.29999999981</v>
      </c>
      <c r="I20" s="12">
        <f t="shared" si="0"/>
        <v>298695.29999999958</v>
      </c>
      <c r="J20" s="12">
        <f t="shared" si="0"/>
        <v>298695.29999999981</v>
      </c>
    </row>
    <row r="21" spans="3:12" x14ac:dyDescent="0.3">
      <c r="C21" t="s">
        <v>464</v>
      </c>
      <c r="E21" s="12">
        <f t="shared" ref="E21:J22" si="1">E28-D28</f>
        <v>-145962</v>
      </c>
      <c r="F21" s="12">
        <f t="shared" ca="1" si="1"/>
        <v>-76533.795372689958</v>
      </c>
      <c r="G21" s="12">
        <f t="shared" ca="1" si="1"/>
        <v>-49841.204627310042</v>
      </c>
      <c r="H21" s="12">
        <f t="shared" ca="1" si="1"/>
        <v>-30032.409491652477</v>
      </c>
      <c r="I21" s="12">
        <f t="shared" ca="1" si="1"/>
        <v>7012.6195580460771</v>
      </c>
      <c r="J21" s="12">
        <f t="shared" ca="1" si="1"/>
        <v>75378.522871528869</v>
      </c>
    </row>
    <row r="22" spans="3:12" x14ac:dyDescent="0.3">
      <c r="C22" s="23" t="s">
        <v>462</v>
      </c>
      <c r="F22" s="12">
        <f t="shared" si="1"/>
        <v>0</v>
      </c>
      <c r="G22" s="12">
        <f t="shared" si="1"/>
        <v>0</v>
      </c>
      <c r="H22" s="12">
        <f t="shared" si="1"/>
        <v>0</v>
      </c>
      <c r="I22" s="12">
        <f t="shared" si="1"/>
        <v>-41000</v>
      </c>
      <c r="J22" s="12">
        <f t="shared" si="1"/>
        <v>-41000</v>
      </c>
    </row>
    <row r="23" spans="3:12" x14ac:dyDescent="0.3">
      <c r="C23" s="2" t="s">
        <v>298</v>
      </c>
      <c r="E23" s="11">
        <f t="shared" ref="E23:J23" si="2">SUM(E16:E22)</f>
        <v>83906</v>
      </c>
      <c r="F23" s="11">
        <f t="shared" ca="1" si="2"/>
        <v>-152727.26826055557</v>
      </c>
      <c r="G23" s="11">
        <f t="shared" ca="1" si="2"/>
        <v>225277.57245636947</v>
      </c>
      <c r="H23" s="11">
        <f t="shared" ca="1" si="2"/>
        <v>96284.839497618057</v>
      </c>
      <c r="I23" s="11">
        <f t="shared" ca="1" si="2"/>
        <v>311219.24861020013</v>
      </c>
      <c r="J23" s="11">
        <f t="shared" ca="1" si="2"/>
        <v>280924.80774248636</v>
      </c>
      <c r="L23" s="233">
        <f ca="1">((J23/E23)^(1/COUNTA($F$13:$J$13)))-1</f>
        <v>0.2733840769440592</v>
      </c>
    </row>
    <row r="24" spans="3:12" x14ac:dyDescent="0.3">
      <c r="E24" s="12"/>
      <c r="F24" s="12"/>
      <c r="G24" s="12"/>
      <c r="H24" s="12"/>
      <c r="I24" s="12"/>
      <c r="J24" s="12"/>
      <c r="L24" s="233"/>
    </row>
    <row r="25" spans="3:12" x14ac:dyDescent="0.3">
      <c r="C25" s="5"/>
      <c r="F25" s="11"/>
      <c r="G25" s="167"/>
      <c r="H25" s="167"/>
      <c r="I25" s="167"/>
      <c r="J25" s="167"/>
    </row>
    <row r="26" spans="3:12" x14ac:dyDescent="0.3">
      <c r="C26" t="s">
        <v>289</v>
      </c>
      <c r="E26" s="121">
        <f>SUM(Model!G58:G62)-SUM(Model!G72:G75)</f>
        <v>258427</v>
      </c>
      <c r="F26" s="121">
        <f ca="1">SUM(Model!H58:H62)-SUM(Model!H72:H75)</f>
        <v>378922.52843659301</v>
      </c>
      <c r="G26" s="121">
        <f ca="1">SUM(Model!I58:I62)-SUM(Model!I72:I75)</f>
        <v>365665.80247564893</v>
      </c>
      <c r="H26" s="121">
        <f ca="1">SUM(Model!J58:J62)-SUM(Model!J72:J75)</f>
        <v>554619.38555040024</v>
      </c>
      <c r="I26" s="121">
        <f ca="1">SUM(Model!K58:K62)-SUM(Model!K72:K75)</f>
        <v>622786.50946215633</v>
      </c>
      <c r="J26" s="121">
        <f ca="1">SUM(Model!L58:L62)-SUM(Model!L72:L75)</f>
        <v>770458.25482844259</v>
      </c>
    </row>
    <row r="27" spans="3:12" x14ac:dyDescent="0.3">
      <c r="C27" s="23" t="s">
        <v>434</v>
      </c>
      <c r="D27" s="121">
        <f>Model!F76</f>
        <v>1618771</v>
      </c>
      <c r="E27" s="121">
        <f>Model!G76</f>
        <v>1623218</v>
      </c>
      <c r="F27" s="121">
        <f>Model!H76</f>
        <v>1471718</v>
      </c>
      <c r="G27" s="121">
        <f>Model!I76</f>
        <v>1719413.3</v>
      </c>
      <c r="H27" s="121">
        <f>Model!J76</f>
        <v>2018108.5999999999</v>
      </c>
      <c r="I27" s="121">
        <f>Model!K76</f>
        <v>2316803.8999999994</v>
      </c>
      <c r="J27" s="121">
        <f>Model!L76</f>
        <v>2615499.1999999993</v>
      </c>
    </row>
    <row r="28" spans="3:12" x14ac:dyDescent="0.3">
      <c r="C28" s="23" t="s">
        <v>463</v>
      </c>
      <c r="D28" s="121">
        <f>Model!F73</f>
        <v>472337</v>
      </c>
      <c r="E28" s="121">
        <f>Model!G73</f>
        <v>326375</v>
      </c>
      <c r="F28" s="121">
        <f ca="1">Model!H73</f>
        <v>249841.20462731004</v>
      </c>
      <c r="G28" s="121">
        <f ca="1">Model!I73</f>
        <v>200000</v>
      </c>
      <c r="H28" s="121">
        <f ca="1">Model!J73</f>
        <v>169967.59050834738</v>
      </c>
      <c r="I28" s="121">
        <f ca="1">Model!K73</f>
        <v>176980.21006683336</v>
      </c>
      <c r="J28" s="121">
        <f ca="1">Model!L73</f>
        <v>252358.73290855507</v>
      </c>
    </row>
    <row r="29" spans="3:12" x14ac:dyDescent="0.3">
      <c r="C29" s="23" t="s">
        <v>45</v>
      </c>
      <c r="E29" s="121">
        <f>Model!G80</f>
        <v>286079</v>
      </c>
      <c r="F29" s="121">
        <f>Model!H80</f>
        <v>286079</v>
      </c>
      <c r="G29" s="121">
        <f>Model!I80</f>
        <v>286079</v>
      </c>
      <c r="H29" s="121">
        <f>Model!J80</f>
        <v>286079</v>
      </c>
      <c r="I29" s="121">
        <f>Model!K80</f>
        <v>245079</v>
      </c>
      <c r="J29" s="121">
        <f>Model!L80</f>
        <v>204079</v>
      </c>
    </row>
    <row r="30" spans="3:12" x14ac:dyDescent="0.3">
      <c r="C30" s="23" t="s">
        <v>30</v>
      </c>
      <c r="D30" s="12">
        <f>+F30*(1-$D$8)+E30*$D$8</f>
        <v>523081.13333333336</v>
      </c>
      <c r="E30" s="121">
        <f>Model!D38</f>
        <v>514720</v>
      </c>
      <c r="F30" s="121">
        <f>Model!E38</f>
        <v>532744</v>
      </c>
      <c r="G30" s="121">
        <f>Model!F38</f>
        <v>698068</v>
      </c>
      <c r="H30" s="121">
        <f>Model!G38</f>
        <v>793557</v>
      </c>
      <c r="I30" s="121">
        <f ca="1">Model!H38</f>
        <v>679538.55132394517</v>
      </c>
      <c r="J30" s="121">
        <f ca="1">Model!I38</f>
        <v>692434.36761679733</v>
      </c>
    </row>
    <row r="32" spans="3:12" x14ac:dyDescent="0.3">
      <c r="C32" s="44" t="str">
        <f>"Present value of FCFE on "&amp;TEXT(D7,"mmm dd, yyyy")&amp;" valuation date"</f>
        <v>Present value of FCFE on Jun 18, 2024 valuation date</v>
      </c>
      <c r="D32" s="45"/>
      <c r="E32" s="45"/>
      <c r="F32" s="45"/>
      <c r="G32" s="45"/>
      <c r="H32" s="45"/>
      <c r="I32" s="45"/>
      <c r="J32" s="45"/>
    </row>
    <row r="33" spans="3:10" x14ac:dyDescent="0.3">
      <c r="E33" s="148" t="s">
        <v>292</v>
      </c>
      <c r="F33" s="148" t="s">
        <v>293</v>
      </c>
      <c r="G33" s="148" t="s">
        <v>294</v>
      </c>
      <c r="H33" s="148" t="s">
        <v>295</v>
      </c>
      <c r="I33" s="148" t="s">
        <v>296</v>
      </c>
      <c r="J33" s="148" t="s">
        <v>297</v>
      </c>
    </row>
    <row r="34" spans="3:10" x14ac:dyDescent="0.3">
      <c r="C34" t="s">
        <v>291</v>
      </c>
      <c r="E34" s="90">
        <f>D7</f>
        <v>45461</v>
      </c>
      <c r="F34" s="90">
        <f>IF($H$8=1,AVERAGE(F13,E34),F13)</f>
        <v>45559</v>
      </c>
      <c r="G34" s="90">
        <f>IF($H$8=1,AVERAGE(F13:G13),G13)</f>
        <v>45839.5</v>
      </c>
      <c r="H34" s="90">
        <f>IF($H$8=1,AVERAGE(G13:H13),H13)</f>
        <v>46204.5</v>
      </c>
      <c r="I34" s="90">
        <f>IF($H$8=1,AVERAGE(H13:I13),I13)</f>
        <v>46569.5</v>
      </c>
      <c r="J34" s="90">
        <f>IF($H$8=1,AVERAGE(I13:J13),J13)</f>
        <v>46935</v>
      </c>
    </row>
    <row r="35" spans="3:10" x14ac:dyDescent="0.3">
      <c r="C35" t="s">
        <v>299</v>
      </c>
      <c r="D35" s="25">
        <f>D8</f>
        <v>0.53611111111111109</v>
      </c>
      <c r="F35" s="12">
        <f ca="1">F23*D35</f>
        <v>-81878.785484131178</v>
      </c>
      <c r="G35" s="12">
        <f ca="1">G23</f>
        <v>225277.57245636947</v>
      </c>
      <c r="H35" s="12">
        <f ca="1">H23</f>
        <v>96284.839497618057</v>
      </c>
      <c r="I35" s="12">
        <f ca="1">I23</f>
        <v>311219.24861020013</v>
      </c>
      <c r="J35" s="12">
        <f ca="1">J23</f>
        <v>280924.80774248636</v>
      </c>
    </row>
    <row r="36" spans="3:10" x14ac:dyDescent="0.3">
      <c r="C36" s="2" t="s">
        <v>300</v>
      </c>
      <c r="F36" s="11">
        <f ca="1">F35/(1+$H$5)^((F34-$E$34)/F14)</f>
        <v>-78476.293811807685</v>
      </c>
      <c r="G36" s="11">
        <f ca="1">G35/(1+$H$5)^((G34-$E$34)/G14)</f>
        <v>191302.24603610692</v>
      </c>
      <c r="H36" s="11">
        <f ca="1">H35/(1+$H$5)^((H34-$E$34)/H14)</f>
        <v>69777.006057467021</v>
      </c>
      <c r="I36" s="11">
        <f ca="1">I35/(1+$H$5)^((I34-$E$34)/I14)</f>
        <v>192560.7167738782</v>
      </c>
      <c r="J36" s="11">
        <f ca="1">J35/(1+$H$5)^((J34-$E$34)/J14)</f>
        <v>148369.32284397224</v>
      </c>
    </row>
    <row r="38" spans="3:10" x14ac:dyDescent="0.3">
      <c r="C38" s="44" t="s">
        <v>301</v>
      </c>
      <c r="D38" s="45"/>
      <c r="F38" s="44" t="s">
        <v>307</v>
      </c>
      <c r="G38" s="45"/>
      <c r="H38" s="45"/>
      <c r="I38" s="45"/>
      <c r="J38" s="45"/>
    </row>
    <row r="39" spans="3:10" x14ac:dyDescent="0.3">
      <c r="C39" t="s">
        <v>308</v>
      </c>
      <c r="D39" s="82">
        <v>0.1</v>
      </c>
      <c r="F39" t="s">
        <v>453</v>
      </c>
      <c r="J39" s="12">
        <f ca="1">J30</f>
        <v>692434.36761679733</v>
      </c>
    </row>
    <row r="40" spans="3:10" x14ac:dyDescent="0.3">
      <c r="C40" t="str">
        <f>YEAR(J34+1)&amp;" FCFE"</f>
        <v>2028 FCFE</v>
      </c>
      <c r="D40" s="12">
        <f ca="1">J35*(1+D39)</f>
        <v>309017.28851673502</v>
      </c>
      <c r="F40" t="s">
        <v>452</v>
      </c>
      <c r="J40" s="37">
        <v>5.5</v>
      </c>
    </row>
    <row r="41" spans="3:10" x14ac:dyDescent="0.3">
      <c r="C41" t="str">
        <f>"Terminal value in "&amp;YEAR(J34)</f>
        <v>Terminal value in 2028</v>
      </c>
      <c r="D41" s="12">
        <f ca="1">D40/(H5-D39)</f>
        <v>4336498.3662876114</v>
      </c>
      <c r="F41" t="str">
        <f>"Terminal value in "&amp;YEAR(J34)</f>
        <v>Terminal value in 2028</v>
      </c>
      <c r="J41" s="12">
        <f ca="1">J39*J40</f>
        <v>3808389.0218923856</v>
      </c>
    </row>
    <row r="42" spans="3:10" x14ac:dyDescent="0.3">
      <c r="C42" t="s">
        <v>302</v>
      </c>
      <c r="D42" s="12">
        <f ca="1">D41/(1+H5)^((J34-E34)/J14)</f>
        <v>2290304.410245853</v>
      </c>
      <c r="F42" t="s">
        <v>302</v>
      </c>
      <c r="J42" s="12">
        <f ca="1">J41/(1+H5)^((J34-E34)/J14)</f>
        <v>2011385.5548939283</v>
      </c>
    </row>
    <row r="43" spans="3:10" x14ac:dyDescent="0.3">
      <c r="C43" t="s">
        <v>303</v>
      </c>
      <c r="D43" s="12">
        <f ca="1">SUM(F36:J36)</f>
        <v>523532.99789961672</v>
      </c>
      <c r="F43" t="s">
        <v>303</v>
      </c>
      <c r="J43" s="12">
        <f ca="1">SUM(F36:J36)</f>
        <v>523532.99789961672</v>
      </c>
    </row>
    <row r="44" spans="3:10" x14ac:dyDescent="0.3">
      <c r="C44" s="2" t="s">
        <v>304</v>
      </c>
      <c r="D44" s="11">
        <f ca="1">D43+D42</f>
        <v>2813837.4081454696</v>
      </c>
      <c r="F44" s="2" t="s">
        <v>304</v>
      </c>
      <c r="J44" s="11">
        <f ca="1">J43+J42</f>
        <v>2534918.5527935452</v>
      </c>
    </row>
    <row r="46" spans="3:10" x14ac:dyDescent="0.3">
      <c r="C46" s="5" t="s">
        <v>305</v>
      </c>
      <c r="D46" s="149">
        <f ca="1">D42/D44</f>
        <v>0.81394340824949651</v>
      </c>
      <c r="F46" s="5" t="s">
        <v>305</v>
      </c>
      <c r="J46" s="149">
        <f ca="1">J42/J44</f>
        <v>0.7934714717667477</v>
      </c>
    </row>
    <row r="47" spans="3:10" x14ac:dyDescent="0.3">
      <c r="C47" s="5" t="s">
        <v>306</v>
      </c>
      <c r="D47" s="149">
        <f ca="1">D43/D44</f>
        <v>0.18605659175050357</v>
      </c>
      <c r="F47" s="5" t="s">
        <v>306</v>
      </c>
      <c r="J47" s="149">
        <f ca="1">J43/J44</f>
        <v>0.2065285282332523</v>
      </c>
    </row>
    <row r="48" spans="3:10" x14ac:dyDescent="0.3">
      <c r="C48" s="5" t="str">
        <f>"Implied "&amp;YEAR(J34)&amp;" adjusted EBITDA ratio"</f>
        <v>Implied 2028 adjusted EBITDA ratio</v>
      </c>
      <c r="D48" s="150">
        <f ca="1">D44/J30</f>
        <v>4.0636882565925525</v>
      </c>
      <c r="F48" s="5" t="str">
        <f>"Implied "&amp;YEAR(J34)&amp;" growth rate"</f>
        <v>Implied 2028 growth rate</v>
      </c>
      <c r="J48" s="149">
        <f ca="1">(H5-J35/J41)/(1+J35/J41)</f>
        <v>9.0797263204449821E-2</v>
      </c>
    </row>
    <row r="49" spans="2:12" x14ac:dyDescent="0.3">
      <c r="C49" s="5"/>
      <c r="D49" s="150"/>
      <c r="F49" s="5"/>
      <c r="J49" s="149"/>
    </row>
    <row r="50" spans="2:12" x14ac:dyDescent="0.3">
      <c r="C50" s="5"/>
      <c r="D50" s="150"/>
      <c r="F50" s="5"/>
      <c r="J50" s="142" t="str">
        <f>UPPER("Active scenario: "&amp;'Scenario Analysis'!$D$3)</f>
        <v>ACTIVE SCENARIO: BASE CASE</v>
      </c>
    </row>
    <row r="51" spans="2:12" x14ac:dyDescent="0.3">
      <c r="B51" t="s">
        <v>7</v>
      </c>
      <c r="C51" s="2" t="s">
        <v>344</v>
      </c>
      <c r="D51" s="150"/>
      <c r="F51" s="5"/>
      <c r="L51" s="45"/>
    </row>
    <row r="52" spans="2:12" x14ac:dyDescent="0.3">
      <c r="C52" s="14"/>
      <c r="D52" s="146" t="s">
        <v>290</v>
      </c>
      <c r="E52" s="146" t="s">
        <v>286</v>
      </c>
      <c r="F52" s="147" t="s">
        <v>287</v>
      </c>
      <c r="G52" s="147"/>
      <c r="H52" s="147"/>
      <c r="I52" s="147"/>
      <c r="J52" s="147"/>
      <c r="L52" s="42">
        <v>5</v>
      </c>
    </row>
    <row r="53" spans="2:12" x14ac:dyDescent="0.3">
      <c r="C53" s="5" t="str">
        <f>Model!C13</f>
        <v>Fiscal year end date</v>
      </c>
      <c r="D53" s="29">
        <f>Model!F13</f>
        <v>44926</v>
      </c>
      <c r="E53" s="29">
        <f>Model!G13</f>
        <v>45291</v>
      </c>
      <c r="F53" s="29">
        <f>Model!H13</f>
        <v>45657</v>
      </c>
      <c r="G53" s="29">
        <f>Model!I13</f>
        <v>46022</v>
      </c>
      <c r="H53" s="29">
        <f>Model!J13</f>
        <v>46387</v>
      </c>
      <c r="I53" s="29">
        <f>Model!K13</f>
        <v>46752</v>
      </c>
      <c r="J53" s="29">
        <f>Model!L13</f>
        <v>47118</v>
      </c>
      <c r="L53" s="42" t="s">
        <v>484</v>
      </c>
    </row>
    <row r="54" spans="2:12" x14ac:dyDescent="0.3">
      <c r="C54" s="8" t="str">
        <f>Model!C139</f>
        <v>Days per year</v>
      </c>
      <c r="D54" s="8">
        <f>Model!E139</f>
        <v>365</v>
      </c>
      <c r="E54" s="8">
        <f>Model!F139</f>
        <v>365</v>
      </c>
      <c r="F54" s="8">
        <f>Model!G139</f>
        <v>365</v>
      </c>
      <c r="G54" s="8">
        <f>Model!H139</f>
        <v>366</v>
      </c>
      <c r="H54" s="8">
        <f>Model!I139</f>
        <v>365</v>
      </c>
      <c r="I54" s="8">
        <f>Model!J139</f>
        <v>365</v>
      </c>
      <c r="J54" s="8">
        <f>Model!K139</f>
        <v>365</v>
      </c>
      <c r="L54" s="152" t="s">
        <v>27</v>
      </c>
    </row>
    <row r="55" spans="2:12" x14ac:dyDescent="0.3">
      <c r="C55" s="5"/>
      <c r="D55" s="5"/>
      <c r="E55" s="5"/>
      <c r="F55" s="5"/>
      <c r="G55" s="5"/>
      <c r="H55" s="5"/>
      <c r="I55" s="5"/>
      <c r="J55" s="5"/>
    </row>
    <row r="56" spans="2:12" x14ac:dyDescent="0.3">
      <c r="C56" t="s">
        <v>345</v>
      </c>
      <c r="D56" s="5"/>
      <c r="E56" s="158">
        <f>Model!G314</f>
        <v>1.9158391206872245</v>
      </c>
      <c r="F56" s="158">
        <f ca="1">Model!H314</f>
        <v>2.6647547888058436</v>
      </c>
      <c r="G56" s="158">
        <f ca="1">Model!I314</f>
        <v>1.7514399061189838</v>
      </c>
      <c r="H56" s="158">
        <f ca="1">Model!J314</f>
        <v>2.0152242906706448</v>
      </c>
      <c r="I56" s="158">
        <f ca="1">Model!K314</f>
        <v>2.5736662898000402</v>
      </c>
      <c r="J56" s="158">
        <f ca="1">Model!L314</f>
        <v>3.1175234522195114</v>
      </c>
      <c r="L56" s="149">
        <f ca="1">((J56/E56)^(1/COUNTA(F53:J53)))-1</f>
        <v>0.10227545901609281</v>
      </c>
    </row>
    <row r="57" spans="2:12" x14ac:dyDescent="0.3">
      <c r="C57" s="159" t="s">
        <v>348</v>
      </c>
      <c r="D57" s="5"/>
      <c r="E57" s="160">
        <f>E56/Model!F314-1</f>
        <v>3.1635652175549644E-2</v>
      </c>
      <c r="F57" s="160">
        <f ca="1">F56/E56-1</f>
        <v>0.39090738884691834</v>
      </c>
      <c r="G57" s="160">
        <f t="shared" ref="G57:J57" ca="1" si="3">G56/F56-1</f>
        <v>-0.34273880903546228</v>
      </c>
      <c r="H57" s="160">
        <f t="shared" ca="1" si="3"/>
        <v>0.1506100115853708</v>
      </c>
      <c r="I57" s="160">
        <f t="shared" ca="1" si="3"/>
        <v>0.27711158589873475</v>
      </c>
      <c r="J57" s="160">
        <f t="shared" ca="1" si="3"/>
        <v>0.21131611529236993</v>
      </c>
    </row>
    <row r="58" spans="2:12" x14ac:dyDescent="0.3">
      <c r="C58" s="159" t="s">
        <v>349</v>
      </c>
      <c r="D58" s="5"/>
      <c r="E58" s="163">
        <f>Model!G313</f>
        <v>0.60262989291271318</v>
      </c>
      <c r="F58" s="163">
        <f>Model!H313</f>
        <v>0.7</v>
      </c>
      <c r="G58" s="163">
        <f>Model!I313</f>
        <v>0.65</v>
      </c>
      <c r="H58" s="163">
        <f>Model!J313</f>
        <v>0.65</v>
      </c>
      <c r="I58" s="163">
        <f>Model!K313</f>
        <v>0.65</v>
      </c>
      <c r="J58" s="163">
        <f>Model!L313</f>
        <v>0.65</v>
      </c>
    </row>
    <row r="59" spans="2:12" x14ac:dyDescent="0.3">
      <c r="D59" s="36"/>
      <c r="E59" s="63"/>
      <c r="F59" s="63"/>
      <c r="G59" s="63"/>
      <c r="H59" s="63"/>
      <c r="I59" s="63"/>
      <c r="J59" s="63"/>
    </row>
    <row r="60" spans="2:12" x14ac:dyDescent="0.3">
      <c r="C60" s="44" t="str">
        <f>"Present value of dividends on "&amp;TEXT(D7,"mmm dd, yyyy")&amp;" valuation date"</f>
        <v>Present value of dividends on Jun 18, 2024 valuation date</v>
      </c>
      <c r="D60" s="161"/>
      <c r="E60" s="45"/>
      <c r="F60" s="45"/>
      <c r="G60" s="45"/>
      <c r="H60" s="45"/>
      <c r="I60" s="45"/>
      <c r="J60" s="162"/>
    </row>
    <row r="61" spans="2:12" x14ac:dyDescent="0.3">
      <c r="C61" s="2"/>
      <c r="D61" s="36"/>
      <c r="E61" s="148" t="s">
        <v>292</v>
      </c>
      <c r="F61" s="148" t="s">
        <v>293</v>
      </c>
      <c r="G61" s="148" t="s">
        <v>294</v>
      </c>
      <c r="H61" s="148" t="s">
        <v>295</v>
      </c>
      <c r="I61" s="148" t="s">
        <v>296</v>
      </c>
      <c r="J61" s="148" t="s">
        <v>297</v>
      </c>
    </row>
    <row r="62" spans="2:12" x14ac:dyDescent="0.3">
      <c r="C62" t="s">
        <v>291</v>
      </c>
      <c r="D62" s="36"/>
      <c r="E62" s="90">
        <f>D7</f>
        <v>45461</v>
      </c>
      <c r="F62" s="90">
        <f>IF($H$8=1,AVERAGE(F53,E62),F53)</f>
        <v>45559</v>
      </c>
      <c r="G62" s="90">
        <f t="shared" ref="G62:I62" si="4">IF($H$8=1,AVERAGE(G53,F53),G53)</f>
        <v>45839.5</v>
      </c>
      <c r="H62" s="90">
        <f t="shared" si="4"/>
        <v>46204.5</v>
      </c>
      <c r="I62" s="90">
        <f t="shared" si="4"/>
        <v>46569.5</v>
      </c>
      <c r="J62" s="90">
        <f>IF($H$8=1,AVERAGE(J53,I53),J53)</f>
        <v>46935</v>
      </c>
    </row>
    <row r="63" spans="2:12" x14ac:dyDescent="0.3">
      <c r="C63" t="s">
        <v>347</v>
      </c>
      <c r="D63" s="22">
        <f>D8</f>
        <v>0.53611111111111109</v>
      </c>
      <c r="F63" s="135">
        <f ca="1">F56*D63</f>
        <v>1.4286046506653549</v>
      </c>
      <c r="G63" s="135">
        <f ca="1">G56</f>
        <v>1.7514399061189838</v>
      </c>
      <c r="H63" s="135">
        <f t="shared" ref="H63:J63" ca="1" si="5">H56</f>
        <v>2.0152242906706448</v>
      </c>
      <c r="I63" s="135">
        <f t="shared" ca="1" si="5"/>
        <v>2.5736662898000402</v>
      </c>
      <c r="J63" s="135">
        <f t="shared" ca="1" si="5"/>
        <v>3.1175234522195114</v>
      </c>
    </row>
    <row r="64" spans="2:12" x14ac:dyDescent="0.3">
      <c r="C64" s="2" t="s">
        <v>346</v>
      </c>
      <c r="D64" s="156"/>
      <c r="E64" s="2"/>
      <c r="F64" s="153">
        <f ca="1">F63/(1+$H$5)^(($F$62-$E$62)/F54)</f>
        <v>1.3692386574084867</v>
      </c>
      <c r="G64" s="153">
        <f ca="1">G63/(1+$H$5)^(($F$62-$E$62)/G54)</f>
        <v>1.6788530975183071</v>
      </c>
      <c r="H64" s="153">
        <f ca="1">H63/(1+$H$5)^(($F$62-$E$62)/H54)</f>
        <v>1.9314811839998725</v>
      </c>
      <c r="I64" s="153">
        <f ca="1">I63/(1+$H$5)^(($F$62-$E$62)/I54)</f>
        <v>2.466716998031643</v>
      </c>
      <c r="J64" s="153">
        <f ca="1">J63/(1+$H$5)^(($F$62-$E$62)/J54)</f>
        <v>2.9879740515813462</v>
      </c>
    </row>
    <row r="65" spans="2:10" x14ac:dyDescent="0.3">
      <c r="C65" s="2"/>
      <c r="D65" s="156"/>
      <c r="E65" s="2"/>
      <c r="F65" s="153"/>
      <c r="G65" s="153"/>
      <c r="H65" s="153"/>
      <c r="I65" s="153"/>
      <c r="J65" s="153"/>
    </row>
    <row r="66" spans="2:10" x14ac:dyDescent="0.3">
      <c r="C66" s="44" t="s">
        <v>350</v>
      </c>
      <c r="D66" s="164"/>
      <c r="E66" s="2"/>
      <c r="F66" s="165" t="s">
        <v>353</v>
      </c>
      <c r="G66" s="165"/>
      <c r="H66" s="165"/>
      <c r="I66" s="165"/>
      <c r="J66" s="165"/>
    </row>
    <row r="67" spans="2:10" x14ac:dyDescent="0.3">
      <c r="C67" t="s">
        <v>308</v>
      </c>
      <c r="D67" s="82">
        <v>0.09</v>
      </c>
      <c r="F67" t="s">
        <v>354</v>
      </c>
      <c r="G67" s="155"/>
      <c r="H67" s="155"/>
      <c r="I67" s="155"/>
      <c r="J67" s="155">
        <f ca="1">J56</f>
        <v>3.1175234522195114</v>
      </c>
    </row>
    <row r="68" spans="2:10" x14ac:dyDescent="0.3">
      <c r="C68" t="str">
        <f>YEAR(J62+1)&amp;" dividend"</f>
        <v>2028 dividend</v>
      </c>
      <c r="D68" s="155">
        <f ca="1">J56*(1+D67)</f>
        <v>3.3981005629192675</v>
      </c>
      <c r="F68" t="s">
        <v>355</v>
      </c>
      <c r="G68" s="155"/>
      <c r="H68" s="155"/>
      <c r="I68" s="155"/>
      <c r="J68" s="37">
        <v>15.8</v>
      </c>
    </row>
    <row r="69" spans="2:10" x14ac:dyDescent="0.3">
      <c r="C69" t="str">
        <f>"Terminal value in "&amp;YEAR(J62)</f>
        <v>Terminal value in 2028</v>
      </c>
      <c r="D69" s="155">
        <f ca="1">D68/(H5-D67)</f>
        <v>41.817817475419055</v>
      </c>
      <c r="F69" t="str">
        <f>"Terminal value in "&amp;YEAR(J62)</f>
        <v>Terminal value in 2028</v>
      </c>
      <c r="G69" s="155"/>
      <c r="H69" s="155"/>
      <c r="I69" s="155"/>
      <c r="J69" s="155">
        <f ca="1">J67*J68</f>
        <v>49.256870545068281</v>
      </c>
    </row>
    <row r="70" spans="2:10" x14ac:dyDescent="0.3">
      <c r="C70" t="s">
        <v>302</v>
      </c>
      <c r="D70" s="155">
        <f ca="1">D69/(1+H5)^((J62-E62)/J54)</f>
        <v>22.085914417811683</v>
      </c>
      <c r="F70" t="s">
        <v>302</v>
      </c>
      <c r="G70" s="155"/>
      <c r="H70" s="155"/>
      <c r="I70" s="155"/>
      <c r="J70" s="155">
        <f ca="1">J69/(1+H5)^((J62-E62)/J54)</f>
        <v>26.014820787504657</v>
      </c>
    </row>
    <row r="71" spans="2:10" x14ac:dyDescent="0.3">
      <c r="C71" t="s">
        <v>303</v>
      </c>
      <c r="D71" s="155">
        <f ca="1">SUM(F64:J64)</f>
        <v>10.434263988539655</v>
      </c>
      <c r="F71" t="s">
        <v>303</v>
      </c>
      <c r="G71" s="155"/>
      <c r="H71" s="155"/>
      <c r="I71" s="155"/>
      <c r="J71" s="155">
        <f ca="1">SUM(F64:J64)</f>
        <v>10.434263988539655</v>
      </c>
    </row>
    <row r="72" spans="2:10" x14ac:dyDescent="0.3">
      <c r="C72" s="2" t="s">
        <v>351</v>
      </c>
      <c r="D72" s="190">
        <f ca="1">D71+D70</f>
        <v>32.520178406351334</v>
      </c>
      <c r="F72" s="2" t="s">
        <v>351</v>
      </c>
      <c r="G72" s="155"/>
      <c r="H72" s="155"/>
      <c r="I72" s="155"/>
      <c r="J72" s="190">
        <f ca="1">J71+J70</f>
        <v>36.449084776044316</v>
      </c>
    </row>
    <row r="73" spans="2:10" x14ac:dyDescent="0.3">
      <c r="D73" s="36"/>
      <c r="G73" s="155"/>
      <c r="H73" s="155"/>
      <c r="I73" s="155"/>
      <c r="J73" s="155"/>
    </row>
    <row r="74" spans="2:10" x14ac:dyDescent="0.3">
      <c r="C74" s="5" t="s">
        <v>305</v>
      </c>
      <c r="D74" s="149">
        <f ca="1">D70/D72</f>
        <v>0.67914493401113096</v>
      </c>
      <c r="F74" s="5" t="s">
        <v>305</v>
      </c>
      <c r="J74" s="149">
        <f ca="1">J70/J72</f>
        <v>0.71373042553327859</v>
      </c>
    </row>
    <row r="75" spans="2:10" x14ac:dyDescent="0.3">
      <c r="C75" s="5" t="s">
        <v>306</v>
      </c>
      <c r="D75" s="149">
        <f ca="1">D71/D72</f>
        <v>0.32085506598886915</v>
      </c>
      <c r="F75" s="5" t="s">
        <v>306</v>
      </c>
      <c r="J75" s="149">
        <f ca="1">J71/J72</f>
        <v>0.2862695744667213</v>
      </c>
    </row>
    <row r="76" spans="2:10" x14ac:dyDescent="0.3">
      <c r="C76" s="5" t="str">
        <f>"Implied "&amp;YEAR(J62)&amp;" multiple"</f>
        <v>Implied 2028 multiple</v>
      </c>
      <c r="D76" s="150">
        <f ca="1">D72/J63</f>
        <v>10.431414199369916</v>
      </c>
      <c r="F76" s="5" t="str">
        <f>"Implied "&amp;YEAR(J62)&amp;" growth rate"</f>
        <v>Implied 2028 growth rate</v>
      </c>
      <c r="J76" s="149">
        <f ca="1">(H5-J63/J69)/(1+J63/J69)</f>
        <v>0.10154179909688012</v>
      </c>
    </row>
    <row r="77" spans="2:10" x14ac:dyDescent="0.3">
      <c r="D77" s="78"/>
    </row>
    <row r="79" spans="2:10" x14ac:dyDescent="0.3">
      <c r="B79" t="s">
        <v>7</v>
      </c>
      <c r="C79" s="44" t="s">
        <v>410</v>
      </c>
      <c r="D79" s="45"/>
      <c r="E79" s="45"/>
      <c r="F79" s="45"/>
      <c r="H79" s="44" t="s">
        <v>339</v>
      </c>
      <c r="I79" s="45"/>
      <c r="J79" s="45"/>
    </row>
    <row r="80" spans="2:10" x14ac:dyDescent="0.3">
      <c r="D80" s="148" t="s">
        <v>309</v>
      </c>
      <c r="E80" s="148" t="s">
        <v>310</v>
      </c>
      <c r="F80" s="148" t="s">
        <v>311</v>
      </c>
      <c r="H80" t="s">
        <v>340</v>
      </c>
      <c r="J80" s="154" cm="1">
        <f t="array" aca="1" ref="J80" ca="1">_FV(Cover!D4,"Beta")</f>
        <v>1.2104999999999999</v>
      </c>
    </row>
    <row r="81" spans="3:16" x14ac:dyDescent="0.3">
      <c r="C81" t="s">
        <v>330</v>
      </c>
      <c r="D81" s="4" t="s">
        <v>437</v>
      </c>
      <c r="E81" s="3">
        <v>45291</v>
      </c>
      <c r="F81" s="15">
        <v>103195172</v>
      </c>
      <c r="H81" t="s">
        <v>341</v>
      </c>
      <c r="J81" s="79">
        <v>3.4729999999999997E-2</v>
      </c>
    </row>
    <row r="82" spans="3:16" x14ac:dyDescent="0.3">
      <c r="C82" t="s">
        <v>332</v>
      </c>
      <c r="D82" s="4" t="s">
        <v>437</v>
      </c>
      <c r="E82" s="3">
        <v>45291</v>
      </c>
      <c r="F82" s="50">
        <v>1443254</v>
      </c>
      <c r="H82" t="s">
        <v>414</v>
      </c>
      <c r="J82" s="76">
        <v>5.3199999999999997E-2</v>
      </c>
    </row>
    <row r="83" spans="3:16" x14ac:dyDescent="0.3">
      <c r="C83" t="s">
        <v>312</v>
      </c>
      <c r="F83" s="121">
        <f ca="1">Shares!F17</f>
        <v>0</v>
      </c>
      <c r="H83" t="s">
        <v>415</v>
      </c>
      <c r="J83" s="184">
        <f>AVERAGE(J84:J112)</f>
        <v>7.2131034482758621E-2</v>
      </c>
    </row>
    <row r="84" spans="3:16" x14ac:dyDescent="0.3">
      <c r="C84" t="s">
        <v>313</v>
      </c>
      <c r="F84" s="121">
        <f>Shares!F29</f>
        <v>0</v>
      </c>
      <c r="H84" s="28" t="s">
        <v>416</v>
      </c>
      <c r="J84" s="79">
        <v>7.1999999999999998E-3</v>
      </c>
      <c r="M84" s="184"/>
      <c r="N84" s="184"/>
      <c r="O84" s="184"/>
    </row>
    <row r="85" spans="3:16" x14ac:dyDescent="0.3">
      <c r="C85" s="2" t="s">
        <v>314</v>
      </c>
      <c r="F85" s="11">
        <f ca="1">SUM(F81:F84)</f>
        <v>104638426</v>
      </c>
      <c r="H85" s="28" t="s">
        <v>417</v>
      </c>
      <c r="J85" s="79">
        <v>2.3399999999999997E-2</v>
      </c>
      <c r="M85" s="22"/>
      <c r="N85" s="22"/>
      <c r="O85" s="22"/>
      <c r="P85" s="78"/>
    </row>
    <row r="86" spans="3:16" x14ac:dyDescent="0.3">
      <c r="H86" s="28" t="s">
        <v>418</v>
      </c>
      <c r="J86" s="79">
        <v>1.7500000000000002E-2</v>
      </c>
    </row>
    <row r="87" spans="3:16" x14ac:dyDescent="0.3">
      <c r="C87" s="2" t="s">
        <v>486</v>
      </c>
      <c r="H87" s="28" t="s">
        <v>419</v>
      </c>
      <c r="J87" s="79">
        <v>0</v>
      </c>
    </row>
    <row r="88" spans="3:16" x14ac:dyDescent="0.3">
      <c r="C88" s="20" t="s">
        <v>491</v>
      </c>
      <c r="H88" s="28" t="s">
        <v>420</v>
      </c>
      <c r="J88" s="79">
        <v>0.14630000000000001</v>
      </c>
    </row>
    <row r="89" spans="3:16" x14ac:dyDescent="0.3">
      <c r="C89" t="s">
        <v>487</v>
      </c>
      <c r="D89" s="4" t="s">
        <v>437</v>
      </c>
      <c r="E89" s="3">
        <v>45291</v>
      </c>
      <c r="F89" s="50">
        <v>6034330</v>
      </c>
      <c r="H89" s="28" t="s">
        <v>421</v>
      </c>
      <c r="J89" s="79">
        <v>6.5799999999999997E-2</v>
      </c>
    </row>
    <row r="90" spans="3:16" x14ac:dyDescent="0.3">
      <c r="C90" t="s">
        <v>488</v>
      </c>
      <c r="D90" s="4" t="s">
        <v>437</v>
      </c>
      <c r="E90" s="3">
        <v>45291</v>
      </c>
      <c r="F90" s="50">
        <v>5892616</v>
      </c>
      <c r="H90" s="28" t="s">
        <v>422</v>
      </c>
      <c r="J90" s="79">
        <v>6.5799999999999997E-2</v>
      </c>
    </row>
    <row r="91" spans="3:16" x14ac:dyDescent="0.3">
      <c r="C91" t="s">
        <v>500</v>
      </c>
      <c r="D91" s="4" t="s">
        <v>437</v>
      </c>
      <c r="E91" s="3">
        <v>45291</v>
      </c>
      <c r="F91" s="50">
        <v>5207324</v>
      </c>
      <c r="H91" s="28" t="s">
        <v>503</v>
      </c>
      <c r="J91" s="79">
        <v>1.24E-2</v>
      </c>
    </row>
    <row r="92" spans="3:16" x14ac:dyDescent="0.3">
      <c r="C92" t="s">
        <v>489</v>
      </c>
      <c r="D92" s="4" t="s">
        <v>437</v>
      </c>
      <c r="E92" s="3">
        <v>45291</v>
      </c>
      <c r="F92" s="50">
        <v>5227473</v>
      </c>
      <c r="H92" s="28" t="s">
        <v>423</v>
      </c>
      <c r="J92" s="79">
        <v>2.3399999999999997E-2</v>
      </c>
    </row>
    <row r="93" spans="3:16" x14ac:dyDescent="0.3">
      <c r="C93" t="s">
        <v>490</v>
      </c>
      <c r="D93" s="4" t="s">
        <v>437</v>
      </c>
      <c r="E93" s="3">
        <v>45291</v>
      </c>
      <c r="F93" s="50">
        <v>5189149</v>
      </c>
      <c r="H93" s="28" t="s">
        <v>424</v>
      </c>
      <c r="J93" s="79">
        <v>0.14630000000000001</v>
      </c>
    </row>
    <row r="94" spans="3:16" x14ac:dyDescent="0.3">
      <c r="H94" s="28" t="s">
        <v>425</v>
      </c>
      <c r="J94" s="79">
        <v>0.10630000000000001</v>
      </c>
    </row>
    <row r="95" spans="3:16" x14ac:dyDescent="0.3">
      <c r="C95" s="20" t="s">
        <v>492</v>
      </c>
      <c r="H95" s="28" t="s">
        <v>481</v>
      </c>
      <c r="J95" s="79">
        <v>8.8000000000000005E-3</v>
      </c>
    </row>
    <row r="96" spans="3:16" x14ac:dyDescent="0.3">
      <c r="C96" t="s">
        <v>493</v>
      </c>
      <c r="D96" s="4" t="s">
        <v>437</v>
      </c>
      <c r="E96" s="3">
        <v>45291</v>
      </c>
      <c r="F96" s="50">
        <v>2352337</v>
      </c>
      <c r="H96" s="28" t="s">
        <v>504</v>
      </c>
      <c r="J96" s="79">
        <v>2.3399999999999997E-2</v>
      </c>
    </row>
    <row r="97" spans="2:10" x14ac:dyDescent="0.3">
      <c r="C97" t="s">
        <v>494</v>
      </c>
      <c r="D97" s="4" t="s">
        <v>437</v>
      </c>
      <c r="E97" s="3">
        <v>45291</v>
      </c>
      <c r="F97" s="50">
        <v>1790504</v>
      </c>
      <c r="H97" s="28" t="s">
        <v>426</v>
      </c>
      <c r="J97" s="79">
        <v>3.6600000000000001E-2</v>
      </c>
    </row>
    <row r="98" spans="2:10" x14ac:dyDescent="0.3">
      <c r="C98" t="s">
        <v>495</v>
      </c>
      <c r="D98" s="4" t="s">
        <v>437</v>
      </c>
      <c r="E98" s="3">
        <v>45291</v>
      </c>
      <c r="F98" s="50">
        <v>117794</v>
      </c>
      <c r="H98" s="28" t="s">
        <v>358</v>
      </c>
      <c r="J98" s="79">
        <v>5.2600000000000001E-2</v>
      </c>
    </row>
    <row r="99" spans="2:10" x14ac:dyDescent="0.3">
      <c r="C99" t="s">
        <v>496</v>
      </c>
      <c r="D99" s="4" t="s">
        <v>437</v>
      </c>
      <c r="E99" s="3">
        <v>45291</v>
      </c>
      <c r="F99" s="50">
        <v>62531</v>
      </c>
      <c r="H99" s="28" t="s">
        <v>359</v>
      </c>
      <c r="J99" s="79">
        <v>0.17550000000000002</v>
      </c>
    </row>
    <row r="100" spans="2:10" x14ac:dyDescent="0.3">
      <c r="H100" s="28" t="s">
        <v>360</v>
      </c>
      <c r="J100" s="79">
        <v>9.5100000000000004E-2</v>
      </c>
    </row>
    <row r="101" spans="2:10" x14ac:dyDescent="0.3">
      <c r="C101" s="2" t="s">
        <v>497</v>
      </c>
      <c r="F101" s="11">
        <f ca="1">F85-SUM(F89:F99)</f>
        <v>72764368</v>
      </c>
      <c r="H101" s="28" t="s">
        <v>361</v>
      </c>
      <c r="J101" s="79">
        <v>0.10970000000000001</v>
      </c>
    </row>
    <row r="102" spans="2:10" x14ac:dyDescent="0.3">
      <c r="H102" s="28" t="s">
        <v>362</v>
      </c>
      <c r="J102" s="79">
        <v>8.0399999999999985E-2</v>
      </c>
    </row>
    <row r="103" spans="2:10" x14ac:dyDescent="0.3">
      <c r="B103" t="s">
        <v>7</v>
      </c>
      <c r="C103" s="44" t="s">
        <v>411</v>
      </c>
      <c r="D103" s="45"/>
      <c r="E103" s="45"/>
      <c r="F103" s="45"/>
      <c r="H103" s="28" t="s">
        <v>363</v>
      </c>
      <c r="J103" s="79">
        <v>0.10970000000000001</v>
      </c>
    </row>
    <row r="104" spans="2:10" x14ac:dyDescent="0.3">
      <c r="C104" s="20" t="s">
        <v>458</v>
      </c>
      <c r="D104" s="148" t="s">
        <v>498</v>
      </c>
      <c r="E104" s="148" t="s">
        <v>499</v>
      </c>
      <c r="F104" s="148" t="s">
        <v>459</v>
      </c>
      <c r="H104" s="28" t="s">
        <v>364</v>
      </c>
      <c r="J104" s="79">
        <v>9.5100000000000004E-2</v>
      </c>
    </row>
    <row r="105" spans="2:10" x14ac:dyDescent="0.3">
      <c r="C105" t="s">
        <v>356</v>
      </c>
      <c r="D105" s="13">
        <f ca="1">D44/(F85/1000)</f>
        <v>26.891052510150232</v>
      </c>
      <c r="E105" s="13">
        <f ca="1">D44/(F101/1000)</f>
        <v>38.67054006633397</v>
      </c>
      <c r="F105" s="82">
        <v>0.2</v>
      </c>
      <c r="H105" s="28" t="s">
        <v>365</v>
      </c>
      <c r="J105" s="79">
        <v>4.3999999999999997E-2</v>
      </c>
    </row>
    <row r="106" spans="2:10" x14ac:dyDescent="0.3">
      <c r="C106" t="s">
        <v>451</v>
      </c>
      <c r="D106" s="13">
        <f ca="1">J44/(F85/1000)</f>
        <v>24.225503476070493</v>
      </c>
      <c r="E106" s="13">
        <f ca="1">J44/(F101/1000)</f>
        <v>34.837360956581733</v>
      </c>
      <c r="F106" s="82">
        <v>0.2</v>
      </c>
      <c r="H106" s="28" t="s">
        <v>427</v>
      </c>
      <c r="J106" s="79">
        <v>1.7500000000000002E-2</v>
      </c>
    </row>
    <row r="107" spans="2:10" x14ac:dyDescent="0.3">
      <c r="C107" t="s">
        <v>485</v>
      </c>
      <c r="D107" s="13">
        <f ca="1">D72</f>
        <v>32.520178406351334</v>
      </c>
      <c r="E107" s="13">
        <f ca="1">D72</f>
        <v>32.520178406351334</v>
      </c>
      <c r="F107" s="82">
        <v>0.3</v>
      </c>
      <c r="H107" s="28" t="s">
        <v>428</v>
      </c>
      <c r="J107" s="79">
        <v>0.14630000000000001</v>
      </c>
    </row>
    <row r="108" spans="2:10" x14ac:dyDescent="0.3">
      <c r="C108" s="45" t="s">
        <v>357</v>
      </c>
      <c r="D108" s="218">
        <f ca="1">J72</f>
        <v>36.449084776044316</v>
      </c>
      <c r="E108" s="218">
        <f ca="1">J72</f>
        <v>36.449084776044316</v>
      </c>
      <c r="F108" s="219">
        <v>0.3</v>
      </c>
      <c r="H108" s="28" t="s">
        <v>429</v>
      </c>
      <c r="J108" s="79">
        <v>9.5100000000000004E-2</v>
      </c>
    </row>
    <row r="109" spans="2:10" x14ac:dyDescent="0.3">
      <c r="C109" s="2" t="s">
        <v>460</v>
      </c>
      <c r="D109" s="190">
        <f ca="1">SUMPRODUCT(D105:D108,F105:F108)</f>
        <v>30.914090151962842</v>
      </c>
      <c r="E109" s="190">
        <f ca="1">SUMPRODUCT(E105:E108,F105:F108)</f>
        <v>35.392359159301833</v>
      </c>
      <c r="F109" s="213">
        <f>SUM(F105:F108)</f>
        <v>1</v>
      </c>
      <c r="H109" s="28" t="s">
        <v>430</v>
      </c>
      <c r="J109" s="79">
        <v>8.0399999999999999E-2</v>
      </c>
    </row>
    <row r="110" spans="2:10" x14ac:dyDescent="0.3">
      <c r="H110" s="28" t="s">
        <v>431</v>
      </c>
      <c r="J110" s="79">
        <v>8.0399999999999999E-2</v>
      </c>
    </row>
    <row r="111" spans="2:10" x14ac:dyDescent="0.3">
      <c r="F111" s="142" t="str">
        <f>UPPER("Active scenario: "&amp;'Scenario Analysis'!$D$3)</f>
        <v>ACTIVE SCENARIO: BASE CASE</v>
      </c>
      <c r="H111" s="28" t="s">
        <v>432</v>
      </c>
      <c r="J111" s="79">
        <v>9.5100000000000004E-2</v>
      </c>
    </row>
    <row r="112" spans="2:10" x14ac:dyDescent="0.3">
      <c r="H112" s="28" t="s">
        <v>433</v>
      </c>
      <c r="J112" s="79">
        <v>0.13170000000000001</v>
      </c>
    </row>
    <row r="113" spans="8:10" x14ac:dyDescent="0.3">
      <c r="H113" s="2" t="s">
        <v>339</v>
      </c>
      <c r="J113" s="196">
        <f ca="1">J81+J80*J82+J83</f>
        <v>0.1712596344827586</v>
      </c>
    </row>
    <row r="114" spans="8:10" x14ac:dyDescent="0.3">
      <c r="H114" s="2"/>
      <c r="J114" s="196"/>
    </row>
    <row r="115" spans="8:10" x14ac:dyDescent="0.3">
      <c r="H115" s="2"/>
      <c r="J115" s="196"/>
    </row>
  </sheetData>
  <dataValidations disablePrompts="1" count="1">
    <dataValidation type="list" allowBlank="1" showInputMessage="1" showErrorMessage="1" sqref="H8" xr:uid="{E0CB8D76-5583-41AA-9CA5-5C53C4FDEC1C}">
      <formula1>"0,1"</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8E43-2373-4D18-B61A-DC0578600A1A}">
  <sheetPr codeName="Sheet9"/>
  <dimension ref="B1:K261"/>
  <sheetViews>
    <sheetView workbookViewId="0"/>
  </sheetViews>
  <sheetFormatPr defaultRowHeight="14.4" x14ac:dyDescent="0.3"/>
  <cols>
    <col min="1" max="1" width="1.77734375" customWidth="1"/>
    <col min="2" max="2" width="17.21875" bestFit="1" customWidth="1"/>
    <col min="3" max="3" width="9.21875" customWidth="1"/>
    <col min="4" max="4" width="11.21875" bestFit="1" customWidth="1"/>
    <col min="5" max="5" width="11.21875" customWidth="1"/>
    <col min="6" max="6" width="11.21875" bestFit="1" customWidth="1"/>
    <col min="7" max="7" width="11.21875" customWidth="1"/>
    <col min="8" max="8" width="11.21875" bestFit="1" customWidth="1"/>
    <col min="10" max="10" width="10.5546875" bestFit="1" customWidth="1"/>
  </cols>
  <sheetData>
    <row r="1" spans="2:11" x14ac:dyDescent="0.3">
      <c r="B1" s="14" t="str">
        <f>Model!C12</f>
        <v>Fiscal year</v>
      </c>
      <c r="C1" s="14"/>
      <c r="D1" s="91">
        <f>Model!D12</f>
        <v>2020</v>
      </c>
      <c r="E1" s="91"/>
      <c r="F1" s="91">
        <f>Model!E12</f>
        <v>2021</v>
      </c>
      <c r="G1" s="91"/>
      <c r="H1" s="91">
        <f>Model!F12</f>
        <v>2022</v>
      </c>
      <c r="I1" s="91"/>
      <c r="J1" s="91">
        <f>Model!G12</f>
        <v>2023</v>
      </c>
      <c r="K1" s="91"/>
    </row>
    <row r="2" spans="2:11" x14ac:dyDescent="0.3">
      <c r="B2" s="8" t="str">
        <f>Model!C13</f>
        <v>Fiscal year end date</v>
      </c>
      <c r="C2" s="8"/>
      <c r="D2" s="92">
        <f>Model!D13</f>
        <v>44196</v>
      </c>
      <c r="E2" s="92"/>
      <c r="F2" s="92">
        <f>Model!E13</f>
        <v>44561</v>
      </c>
      <c r="G2" s="92"/>
      <c r="H2" s="92">
        <f>Model!F13</f>
        <v>44926</v>
      </c>
      <c r="I2" s="92"/>
      <c r="J2" s="92">
        <f>Model!G13</f>
        <v>45291</v>
      </c>
      <c r="K2" s="92"/>
    </row>
    <row r="3" spans="2:11" x14ac:dyDescent="0.3">
      <c r="B3" s="93" t="s">
        <v>195</v>
      </c>
      <c r="C3" s="94"/>
      <c r="D3" s="95">
        <f ca="1">AVERAGE(E5:E261)</f>
        <v>41.417509727626481</v>
      </c>
      <c r="E3" s="96"/>
      <c r="F3" s="95">
        <f ca="1">AVERAGE(G5:G261)</f>
        <v>34.676575875486378</v>
      </c>
      <c r="G3" s="96"/>
      <c r="H3" s="95">
        <f ca="1">AVERAGE(I5:I261)</f>
        <v>25.09315175097278</v>
      </c>
      <c r="I3" s="96"/>
      <c r="J3" s="95">
        <f ca="1">AVERAGE(K5:K261)</f>
        <v>23.615411764705893</v>
      </c>
      <c r="K3" s="95"/>
    </row>
    <row r="4" spans="2:11" x14ac:dyDescent="0.3">
      <c r="D4" t="str" cm="1">
        <f t="array" aca="1" ref="D4:E261" ca="1">_xlfn.STOCKHISTORY(Cover!$D$4,DATE(D1,1,1),DATE(D1,12,31))</f>
        <v>Date</v>
      </c>
      <c r="E4" t="str">
        <f ca="1"/>
        <v>Close</v>
      </c>
      <c r="F4" t="str" cm="1">
        <f t="array" aca="1" ref="F4:G261" ca="1">_xlfn.STOCKHISTORY(Cover!$D$4,DATE(F1,1,1),DATE(F1,12,31))</f>
        <v>Date</v>
      </c>
      <c r="G4" t="str">
        <f ca="1"/>
        <v>Close</v>
      </c>
      <c r="H4" t="str" cm="1">
        <f t="array" aca="1" ref="H4:I261" ca="1">_xlfn.STOCKHISTORY(Cover!$D$4,DATE(H1,1,1),DATE(H1,12,31))</f>
        <v>Date</v>
      </c>
      <c r="I4" t="str">
        <f ca="1"/>
        <v>Close</v>
      </c>
      <c r="J4" t="str" cm="1">
        <f t="array" aca="1" ref="J4:K259" ca="1">_xlfn.STOCKHISTORY(Cover!$D$4,DATE(J1,1,1),DATE(J1,12,31))</f>
        <v>Date</v>
      </c>
      <c r="K4" t="str">
        <f ca="1"/>
        <v>Close</v>
      </c>
    </row>
    <row r="5" spans="2:11" x14ac:dyDescent="0.3">
      <c r="D5" vm="2">
        <f ca="1"/>
        <v>43832</v>
      </c>
      <c r="E5" vm="3">
        <f ca="1"/>
        <v>55.05</v>
      </c>
      <c r="F5" vm="4">
        <f ca="1"/>
        <v>44200</v>
      </c>
      <c r="G5" vm="5">
        <f ca="1"/>
        <v>38.36</v>
      </c>
      <c r="H5" vm="6">
        <f ca="1"/>
        <v>44564</v>
      </c>
      <c r="I5" vm="7">
        <f ca="1"/>
        <v>27.22</v>
      </c>
      <c r="J5" vm="8">
        <f ca="1"/>
        <v>44928</v>
      </c>
      <c r="K5" vm="9">
        <f ca="1"/>
        <v>25.07</v>
      </c>
    </row>
    <row r="6" spans="2:11" x14ac:dyDescent="0.3">
      <c r="D6" vm="10">
        <f ca="1"/>
        <v>43833</v>
      </c>
      <c r="E6" vm="11">
        <f ca="1"/>
        <v>54.45</v>
      </c>
      <c r="F6" vm="12">
        <f ca="1"/>
        <v>44201</v>
      </c>
      <c r="G6" vm="13">
        <f ca="1"/>
        <v>38.9</v>
      </c>
      <c r="H6" vm="14">
        <f ca="1"/>
        <v>44565</v>
      </c>
      <c r="I6" vm="15">
        <f ca="1"/>
        <v>27.97</v>
      </c>
      <c r="J6" vm="16">
        <f ca="1"/>
        <v>44929</v>
      </c>
      <c r="K6" vm="17">
        <f ca="1"/>
        <v>24.98</v>
      </c>
    </row>
    <row r="7" spans="2:11" x14ac:dyDescent="0.3">
      <c r="D7" vm="18">
        <f ca="1"/>
        <v>43836</v>
      </c>
      <c r="E7" vm="19">
        <f ca="1"/>
        <v>54.05</v>
      </c>
      <c r="F7" vm="20">
        <f ca="1"/>
        <v>44202</v>
      </c>
      <c r="G7" vm="21">
        <f ca="1"/>
        <v>40.76</v>
      </c>
      <c r="H7" vm="22">
        <f ca="1"/>
        <v>44566</v>
      </c>
      <c r="I7" vm="23">
        <f ca="1"/>
        <v>27.92</v>
      </c>
      <c r="J7" vm="24">
        <f ca="1"/>
        <v>44930</v>
      </c>
      <c r="K7" vm="25">
        <f ca="1"/>
        <v>25.14</v>
      </c>
    </row>
    <row r="8" spans="2:11" x14ac:dyDescent="0.3">
      <c r="D8" vm="26">
        <f ca="1"/>
        <v>43837</v>
      </c>
      <c r="E8" vm="27">
        <f ca="1"/>
        <v>54.35</v>
      </c>
      <c r="F8" vm="28">
        <f ca="1"/>
        <v>44203</v>
      </c>
      <c r="G8" vm="29">
        <f ca="1"/>
        <v>40.659999999999997</v>
      </c>
      <c r="H8" vm="30">
        <f ca="1"/>
        <v>44567</v>
      </c>
      <c r="I8" vm="31">
        <f ca="1"/>
        <v>27.94</v>
      </c>
      <c r="J8" vm="32">
        <f ca="1"/>
        <v>44931</v>
      </c>
      <c r="K8" vm="33">
        <f ca="1"/>
        <v>25.29</v>
      </c>
    </row>
    <row r="9" spans="2:11" x14ac:dyDescent="0.3">
      <c r="D9" vm="34">
        <f ca="1"/>
        <v>43838</v>
      </c>
      <c r="E9" vm="35">
        <f ca="1"/>
        <v>54</v>
      </c>
      <c r="F9" vm="36">
        <f ca="1"/>
        <v>44204</v>
      </c>
      <c r="G9" vm="37">
        <f ca="1"/>
        <v>40.5</v>
      </c>
      <c r="H9" vm="38">
        <f ca="1"/>
        <v>44568</v>
      </c>
      <c r="I9" vm="31">
        <f ca="1"/>
        <v>27.94</v>
      </c>
      <c r="J9" vm="39">
        <f ca="1"/>
        <v>44932</v>
      </c>
      <c r="K9" vm="40">
        <f ca="1"/>
        <v>25.33</v>
      </c>
    </row>
    <row r="10" spans="2:11" x14ac:dyDescent="0.3">
      <c r="B10" s="90"/>
      <c r="D10" vm="41">
        <f ca="1"/>
        <v>43839</v>
      </c>
      <c r="E10" vm="42">
        <f ca="1"/>
        <v>54.95</v>
      </c>
      <c r="F10" vm="43">
        <f ca="1"/>
        <v>44207</v>
      </c>
      <c r="G10" vm="44">
        <f ca="1"/>
        <v>40.24</v>
      </c>
      <c r="H10" vm="45">
        <f ca="1"/>
        <v>44571</v>
      </c>
      <c r="I10" vm="46">
        <f ca="1"/>
        <v>28.06</v>
      </c>
      <c r="J10" vm="47">
        <f ca="1"/>
        <v>44935</v>
      </c>
      <c r="K10" vm="48">
        <f ca="1"/>
        <v>25.61</v>
      </c>
    </row>
    <row r="11" spans="2:11" x14ac:dyDescent="0.3">
      <c r="B11" s="90"/>
      <c r="D11" vm="49">
        <f ca="1"/>
        <v>43840</v>
      </c>
      <c r="E11" vm="50">
        <f ca="1"/>
        <v>55.35</v>
      </c>
      <c r="F11" vm="51">
        <f ca="1"/>
        <v>44208</v>
      </c>
      <c r="G11" vm="52">
        <f ca="1"/>
        <v>40.619999999999997</v>
      </c>
      <c r="H11" vm="53">
        <f ca="1"/>
        <v>44572</v>
      </c>
      <c r="I11" vm="54">
        <f ca="1"/>
        <v>28.26</v>
      </c>
      <c r="J11" vm="55">
        <f ca="1"/>
        <v>44936</v>
      </c>
      <c r="K11" vm="56">
        <f ca="1"/>
        <v>25.13</v>
      </c>
    </row>
    <row r="12" spans="2:11" x14ac:dyDescent="0.3">
      <c r="D12" vm="57">
        <f ca="1"/>
        <v>43843</v>
      </c>
      <c r="E12" vm="3">
        <f ca="1"/>
        <v>55.05</v>
      </c>
      <c r="F12" vm="58">
        <f ca="1"/>
        <v>44209</v>
      </c>
      <c r="G12" vm="59">
        <f ca="1"/>
        <v>40.28</v>
      </c>
      <c r="H12" vm="60">
        <f ca="1"/>
        <v>44573</v>
      </c>
      <c r="I12" vm="61">
        <f ca="1"/>
        <v>28.23</v>
      </c>
      <c r="J12" vm="62">
        <f ca="1"/>
        <v>44937</v>
      </c>
      <c r="K12" vm="25">
        <f ca="1"/>
        <v>25.14</v>
      </c>
    </row>
    <row r="13" spans="2:11" x14ac:dyDescent="0.3">
      <c r="D13" vm="63">
        <f ca="1"/>
        <v>43844</v>
      </c>
      <c r="E13" vm="3">
        <f ca="1"/>
        <v>55.05</v>
      </c>
      <c r="F13" vm="64">
        <f ca="1"/>
        <v>44210</v>
      </c>
      <c r="G13" vm="44">
        <f ca="1"/>
        <v>40.24</v>
      </c>
      <c r="H13" vm="65">
        <f ca="1"/>
        <v>44574</v>
      </c>
      <c r="I13" vm="66">
        <f ca="1"/>
        <v>28.41</v>
      </c>
      <c r="J13" vm="67">
        <f ca="1"/>
        <v>44938</v>
      </c>
      <c r="K13" vm="68">
        <f ca="1"/>
        <v>25.8</v>
      </c>
    </row>
    <row r="14" spans="2:11" x14ac:dyDescent="0.3">
      <c r="D14" vm="69">
        <f ca="1"/>
        <v>43845</v>
      </c>
      <c r="E14" vm="70">
        <f ca="1"/>
        <v>57.1</v>
      </c>
      <c r="F14" vm="71">
        <f ca="1"/>
        <v>44211</v>
      </c>
      <c r="G14" vm="72">
        <f ca="1"/>
        <v>40.1</v>
      </c>
      <c r="H14" vm="73">
        <f ca="1"/>
        <v>44575</v>
      </c>
      <c r="I14" vm="74">
        <f ca="1"/>
        <v>29.07</v>
      </c>
      <c r="J14" vm="75">
        <f ca="1"/>
        <v>44939</v>
      </c>
      <c r="K14" vm="76">
        <f ca="1"/>
        <v>25.83</v>
      </c>
    </row>
    <row r="15" spans="2:11" x14ac:dyDescent="0.3">
      <c r="D15" vm="77">
        <f ca="1"/>
        <v>43846</v>
      </c>
      <c r="E15" vm="78">
        <f ca="1"/>
        <v>56.5</v>
      </c>
      <c r="F15" vm="79">
        <f ca="1"/>
        <v>44214</v>
      </c>
      <c r="G15" vm="80">
        <f ca="1"/>
        <v>39.86</v>
      </c>
      <c r="H15" vm="81">
        <f ca="1"/>
        <v>44578</v>
      </c>
      <c r="I15" vm="82">
        <f ca="1"/>
        <v>28.58</v>
      </c>
      <c r="J15" vm="83">
        <f ca="1"/>
        <v>44942</v>
      </c>
      <c r="K15" vm="84">
        <f ca="1"/>
        <v>26.08</v>
      </c>
    </row>
    <row r="16" spans="2:11" x14ac:dyDescent="0.3">
      <c r="D16" vm="85">
        <f ca="1"/>
        <v>43847</v>
      </c>
      <c r="E16" vm="86">
        <f ca="1"/>
        <v>56.1</v>
      </c>
      <c r="F16" vm="87">
        <f ca="1"/>
        <v>44215</v>
      </c>
      <c r="G16" vm="88">
        <f ca="1"/>
        <v>39.9</v>
      </c>
      <c r="H16" vm="89">
        <f ca="1"/>
        <v>44579</v>
      </c>
      <c r="I16" vm="90">
        <f ca="1"/>
        <v>28.79</v>
      </c>
      <c r="J16" vm="91">
        <f ca="1"/>
        <v>44943</v>
      </c>
      <c r="K16" vm="92">
        <f ca="1"/>
        <v>26.27</v>
      </c>
    </row>
    <row r="17" spans="4:11" x14ac:dyDescent="0.3">
      <c r="D17" vm="93">
        <f ca="1"/>
        <v>43850</v>
      </c>
      <c r="E17" vm="78">
        <f ca="1"/>
        <v>56.5</v>
      </c>
      <c r="F17" vm="94">
        <f ca="1"/>
        <v>44216</v>
      </c>
      <c r="G17" vm="88">
        <f ca="1"/>
        <v>39.9</v>
      </c>
      <c r="H17" vm="95">
        <f ca="1"/>
        <v>44580</v>
      </c>
      <c r="I17" vm="96">
        <f ca="1"/>
        <v>28.92</v>
      </c>
      <c r="J17" vm="97">
        <f ca="1"/>
        <v>44944</v>
      </c>
      <c r="K17" vm="98">
        <f ca="1"/>
        <v>26.39</v>
      </c>
    </row>
    <row r="18" spans="4:11" x14ac:dyDescent="0.3">
      <c r="D18" vm="99">
        <f ca="1"/>
        <v>43851</v>
      </c>
      <c r="E18" vm="100">
        <f ca="1"/>
        <v>55.65</v>
      </c>
      <c r="F18" vm="101">
        <f ca="1"/>
        <v>44217</v>
      </c>
      <c r="G18" vm="102">
        <f ca="1"/>
        <v>39.4</v>
      </c>
      <c r="H18" vm="103">
        <f ca="1"/>
        <v>44581</v>
      </c>
      <c r="I18" vm="104">
        <f ca="1"/>
        <v>28.55</v>
      </c>
      <c r="J18" vm="105">
        <f ca="1"/>
        <v>44945</v>
      </c>
      <c r="K18" vm="106">
        <f ca="1"/>
        <v>25.67</v>
      </c>
    </row>
    <row r="19" spans="4:11" x14ac:dyDescent="0.3">
      <c r="D19" vm="107">
        <f ca="1"/>
        <v>43852</v>
      </c>
      <c r="E19" vm="108">
        <f ca="1"/>
        <v>56.8</v>
      </c>
      <c r="F19" vm="109">
        <f ca="1"/>
        <v>44218</v>
      </c>
      <c r="G19" vm="110">
        <f ca="1"/>
        <v>39.1</v>
      </c>
      <c r="H19" vm="111">
        <f ca="1"/>
        <v>44582</v>
      </c>
      <c r="I19" vm="112">
        <f ca="1"/>
        <v>28.63</v>
      </c>
      <c r="J19" vm="113">
        <f ca="1"/>
        <v>44946</v>
      </c>
      <c r="K19" vm="114">
        <f ca="1"/>
        <v>25.74</v>
      </c>
    </row>
    <row r="20" spans="4:11" x14ac:dyDescent="0.3">
      <c r="D20" vm="115">
        <f ca="1"/>
        <v>43853</v>
      </c>
      <c r="E20" vm="78">
        <f ca="1"/>
        <v>56.5</v>
      </c>
      <c r="F20" vm="116">
        <f ca="1"/>
        <v>44221</v>
      </c>
      <c r="G20" vm="117">
        <f ca="1"/>
        <v>37.979999999999997</v>
      </c>
      <c r="H20" vm="118">
        <f ca="1"/>
        <v>44585</v>
      </c>
      <c r="I20" vm="119">
        <f ca="1"/>
        <v>28.56</v>
      </c>
      <c r="J20" vm="120">
        <f ca="1"/>
        <v>44949</v>
      </c>
      <c r="K20" vm="121">
        <f ca="1"/>
        <v>25.7</v>
      </c>
    </row>
    <row r="21" spans="4:11" x14ac:dyDescent="0.3">
      <c r="D21" vm="122">
        <f ca="1"/>
        <v>43854</v>
      </c>
      <c r="E21" vm="123">
        <f ca="1"/>
        <v>56.75</v>
      </c>
      <c r="F21" vm="124">
        <f ca="1"/>
        <v>44222</v>
      </c>
      <c r="G21" vm="125">
        <f ca="1"/>
        <v>38.4</v>
      </c>
      <c r="H21" vm="126">
        <f ca="1"/>
        <v>44586</v>
      </c>
      <c r="I21" vm="127">
        <f ca="1"/>
        <v>29.06</v>
      </c>
      <c r="J21" vm="128">
        <f ca="1"/>
        <v>44950</v>
      </c>
      <c r="K21" vm="129">
        <f ca="1"/>
        <v>25.72</v>
      </c>
    </row>
    <row r="22" spans="4:11" x14ac:dyDescent="0.3">
      <c r="D22" vm="130">
        <f ca="1"/>
        <v>43857</v>
      </c>
      <c r="E22" vm="131">
        <f ca="1"/>
        <v>55.95</v>
      </c>
      <c r="F22" vm="132">
        <f ca="1"/>
        <v>44223</v>
      </c>
      <c r="G22" vm="133">
        <f ca="1"/>
        <v>37.82</v>
      </c>
      <c r="H22" vm="134">
        <f ca="1"/>
        <v>44587</v>
      </c>
      <c r="I22" vm="135">
        <f ca="1"/>
        <v>28.93</v>
      </c>
      <c r="J22" vm="136">
        <f ca="1"/>
        <v>44951</v>
      </c>
      <c r="K22" vm="137">
        <f ca="1"/>
        <v>25.52</v>
      </c>
    </row>
    <row r="23" spans="4:11" x14ac:dyDescent="0.3">
      <c r="D23" vm="138">
        <f ca="1"/>
        <v>43858</v>
      </c>
      <c r="E23" vm="139">
        <f ca="1"/>
        <v>56.05</v>
      </c>
      <c r="F23" vm="140">
        <f ca="1"/>
        <v>44224</v>
      </c>
      <c r="G23" vm="141">
        <f ca="1"/>
        <v>37.700000000000003</v>
      </c>
      <c r="H23" vm="142">
        <f ca="1"/>
        <v>44588</v>
      </c>
      <c r="I23" vm="143">
        <f ca="1"/>
        <v>29.43</v>
      </c>
      <c r="J23" vm="144">
        <f ca="1"/>
        <v>44952</v>
      </c>
      <c r="K23" vm="145">
        <f ca="1"/>
        <v>25.94</v>
      </c>
    </row>
    <row r="24" spans="4:11" x14ac:dyDescent="0.3">
      <c r="D24" vm="146">
        <f ca="1"/>
        <v>43859</v>
      </c>
      <c r="E24" vm="147">
        <f ca="1"/>
        <v>56.2</v>
      </c>
      <c r="F24" vm="148">
        <f ca="1"/>
        <v>44225</v>
      </c>
      <c r="G24" vm="149">
        <f ca="1"/>
        <v>37.340000000000003</v>
      </c>
      <c r="H24" vm="150">
        <f ca="1"/>
        <v>44589</v>
      </c>
      <c r="I24" vm="151">
        <f ca="1"/>
        <v>28.78</v>
      </c>
      <c r="J24" vm="152">
        <f ca="1"/>
        <v>44953</v>
      </c>
      <c r="K24" vm="76">
        <f ca="1"/>
        <v>25.83</v>
      </c>
    </row>
    <row r="25" spans="4:11" x14ac:dyDescent="0.3">
      <c r="D25" vm="153">
        <f ca="1"/>
        <v>43860</v>
      </c>
      <c r="E25" vm="154">
        <f ca="1"/>
        <v>55.3</v>
      </c>
      <c r="F25" vm="155">
        <f ca="1"/>
        <v>44228</v>
      </c>
      <c r="G25" vm="156">
        <f ca="1"/>
        <v>38.020000000000003</v>
      </c>
      <c r="H25" vm="157">
        <f ca="1"/>
        <v>44592</v>
      </c>
      <c r="I25" vm="158">
        <f ca="1"/>
        <v>28.66</v>
      </c>
      <c r="J25" vm="159">
        <f ca="1"/>
        <v>44956</v>
      </c>
      <c r="K25" vm="160">
        <f ca="1"/>
        <v>25.58</v>
      </c>
    </row>
    <row r="26" spans="4:11" x14ac:dyDescent="0.3">
      <c r="D26" vm="161">
        <f ca="1"/>
        <v>43861</v>
      </c>
      <c r="E26" vm="162">
        <f ca="1"/>
        <v>55.85</v>
      </c>
      <c r="F26" vm="163">
        <f ca="1"/>
        <v>44229</v>
      </c>
      <c r="G26" vm="164">
        <f ca="1"/>
        <v>37.92</v>
      </c>
      <c r="H26" vm="165">
        <f ca="1"/>
        <v>44593</v>
      </c>
      <c r="I26" vm="166">
        <f ca="1"/>
        <v>28.5</v>
      </c>
      <c r="J26" vm="167">
        <f ca="1"/>
        <v>44957</v>
      </c>
      <c r="K26" vm="106">
        <f ca="1"/>
        <v>25.67</v>
      </c>
    </row>
    <row r="27" spans="4:11" x14ac:dyDescent="0.3">
      <c r="D27" vm="168">
        <f ca="1"/>
        <v>43864</v>
      </c>
      <c r="E27" vm="169">
        <f ca="1"/>
        <v>55.8</v>
      </c>
      <c r="F27" vm="170">
        <f ca="1"/>
        <v>44230</v>
      </c>
      <c r="G27" vm="171">
        <f ca="1"/>
        <v>38.18</v>
      </c>
      <c r="H27" vm="172">
        <f ca="1"/>
        <v>44594</v>
      </c>
      <c r="I27" vm="173">
        <f ca="1"/>
        <v>28.44</v>
      </c>
      <c r="J27" vm="174">
        <f ca="1"/>
        <v>44958</v>
      </c>
      <c r="K27" vm="175">
        <f ca="1"/>
        <v>25.89</v>
      </c>
    </row>
    <row r="28" spans="4:11" x14ac:dyDescent="0.3">
      <c r="D28" vm="176">
        <f ca="1"/>
        <v>43865</v>
      </c>
      <c r="E28" vm="177">
        <f ca="1"/>
        <v>55.1</v>
      </c>
      <c r="F28" vm="178">
        <f ca="1"/>
        <v>44231</v>
      </c>
      <c r="G28" vm="179">
        <f ca="1"/>
        <v>38.22</v>
      </c>
      <c r="H28" vm="180">
        <f ca="1"/>
        <v>44595</v>
      </c>
      <c r="I28" vm="61">
        <f ca="1"/>
        <v>28.23</v>
      </c>
      <c r="J28" vm="181">
        <f ca="1"/>
        <v>44959</v>
      </c>
      <c r="K28" vm="182">
        <f ca="1"/>
        <v>26.03</v>
      </c>
    </row>
    <row r="29" spans="4:11" x14ac:dyDescent="0.3">
      <c r="D29" vm="183">
        <f ca="1"/>
        <v>43866</v>
      </c>
      <c r="E29" vm="131">
        <f ca="1"/>
        <v>55.95</v>
      </c>
      <c r="F29" vm="184">
        <f ca="1"/>
        <v>44232</v>
      </c>
      <c r="G29" vm="185">
        <f ca="1"/>
        <v>38.5</v>
      </c>
      <c r="H29" vm="186">
        <f ca="1"/>
        <v>44596</v>
      </c>
      <c r="I29" vm="187">
        <f ca="1"/>
        <v>28.04</v>
      </c>
      <c r="J29" vm="188">
        <f ca="1"/>
        <v>44960</v>
      </c>
      <c r="K29" vm="189">
        <f ca="1"/>
        <v>25.75</v>
      </c>
    </row>
    <row r="30" spans="4:11" x14ac:dyDescent="0.3">
      <c r="D30" vm="190">
        <f ca="1"/>
        <v>43867</v>
      </c>
      <c r="E30" vm="191">
        <f ca="1"/>
        <v>56.45</v>
      </c>
      <c r="F30" vm="192">
        <f ca="1"/>
        <v>44235</v>
      </c>
      <c r="G30" vm="193">
        <f ca="1"/>
        <v>38.979999999999997</v>
      </c>
      <c r="H30" vm="194">
        <f ca="1"/>
        <v>44599</v>
      </c>
      <c r="I30" vm="195">
        <f ca="1"/>
        <v>28.54</v>
      </c>
      <c r="J30" vm="196">
        <f ca="1"/>
        <v>44963</v>
      </c>
      <c r="K30" vm="197">
        <f ca="1"/>
        <v>25.43</v>
      </c>
    </row>
    <row r="31" spans="4:11" x14ac:dyDescent="0.3">
      <c r="D31" vm="198">
        <f ca="1"/>
        <v>43868</v>
      </c>
      <c r="E31" vm="199">
        <f ca="1"/>
        <v>56.35</v>
      </c>
      <c r="F31" vm="200">
        <f ca="1"/>
        <v>44236</v>
      </c>
      <c r="G31" vm="201">
        <f ca="1"/>
        <v>39.159999999999997</v>
      </c>
      <c r="H31" vm="202">
        <f ca="1"/>
        <v>44600</v>
      </c>
      <c r="I31" vm="203">
        <f ca="1"/>
        <v>28.77</v>
      </c>
      <c r="J31" vm="204">
        <f ca="1"/>
        <v>44964</v>
      </c>
      <c r="K31" vm="205">
        <f ca="1"/>
        <v>25.69</v>
      </c>
    </row>
    <row r="32" spans="4:11" x14ac:dyDescent="0.3">
      <c r="D32" vm="206">
        <f ca="1"/>
        <v>43871</v>
      </c>
      <c r="E32" vm="199">
        <f ca="1"/>
        <v>56.35</v>
      </c>
      <c r="F32" vm="207">
        <f ca="1"/>
        <v>44237</v>
      </c>
      <c r="G32" vm="208">
        <f ca="1"/>
        <v>39.5</v>
      </c>
      <c r="H32" vm="209">
        <f ca="1"/>
        <v>44601</v>
      </c>
      <c r="I32" vm="210">
        <f ca="1"/>
        <v>30.7</v>
      </c>
      <c r="J32" vm="211">
        <f ca="1"/>
        <v>44965</v>
      </c>
      <c r="K32" vm="212">
        <f ca="1"/>
        <v>25.88</v>
      </c>
    </row>
    <row r="33" spans="4:11" x14ac:dyDescent="0.3">
      <c r="D33" vm="213">
        <f ca="1"/>
        <v>43872</v>
      </c>
      <c r="E33" vm="214">
        <f ca="1"/>
        <v>56.95</v>
      </c>
      <c r="F33" vm="215">
        <f ca="1"/>
        <v>44238</v>
      </c>
      <c r="G33" vm="216">
        <f ca="1"/>
        <v>39.700000000000003</v>
      </c>
      <c r="H33" vm="217">
        <f ca="1"/>
        <v>44602</v>
      </c>
      <c r="I33" vm="218">
        <f ca="1"/>
        <v>31.1</v>
      </c>
      <c r="J33" vm="219">
        <f ca="1"/>
        <v>44966</v>
      </c>
      <c r="K33" vm="220">
        <f ca="1"/>
        <v>25.85</v>
      </c>
    </row>
    <row r="34" spans="4:11" x14ac:dyDescent="0.3">
      <c r="D34" vm="221">
        <f ca="1"/>
        <v>43873</v>
      </c>
      <c r="E34" vm="222">
        <f ca="1"/>
        <v>56.25</v>
      </c>
      <c r="F34" vm="223">
        <f ca="1"/>
        <v>44239</v>
      </c>
      <c r="G34" vm="224">
        <f ca="1"/>
        <v>38.299999999999997</v>
      </c>
      <c r="H34" vm="225">
        <f ca="1"/>
        <v>44603</v>
      </c>
      <c r="I34" vm="226">
        <f ca="1"/>
        <v>29.94</v>
      </c>
      <c r="J34" vm="227">
        <f ca="1"/>
        <v>44967</v>
      </c>
      <c r="K34" vm="228">
        <f ca="1"/>
        <v>25.82</v>
      </c>
    </row>
    <row r="35" spans="4:11" x14ac:dyDescent="0.3">
      <c r="D35" vm="229">
        <f ca="1"/>
        <v>43874</v>
      </c>
      <c r="E35" vm="50">
        <f ca="1"/>
        <v>55.35</v>
      </c>
      <c r="F35" vm="230">
        <f ca="1"/>
        <v>44242</v>
      </c>
      <c r="G35" vm="231">
        <f ca="1"/>
        <v>38.24</v>
      </c>
      <c r="H35" vm="232">
        <f ca="1"/>
        <v>44606</v>
      </c>
      <c r="I35" vm="233">
        <f ca="1"/>
        <v>29.36</v>
      </c>
      <c r="J35" vm="234">
        <f ca="1"/>
        <v>44970</v>
      </c>
      <c r="K35" vm="235">
        <f ca="1"/>
        <v>25.86</v>
      </c>
    </row>
    <row r="36" spans="4:11" x14ac:dyDescent="0.3">
      <c r="D36" vm="236">
        <f ca="1"/>
        <v>43875</v>
      </c>
      <c r="E36" vm="237">
        <f ca="1"/>
        <v>55.25</v>
      </c>
      <c r="F36" vm="238">
        <f ca="1"/>
        <v>44243</v>
      </c>
      <c r="G36" vm="185">
        <f ca="1"/>
        <v>38.5</v>
      </c>
      <c r="H36" vm="239">
        <f ca="1"/>
        <v>44607</v>
      </c>
      <c r="I36" vm="240">
        <f ca="1"/>
        <v>29.4</v>
      </c>
      <c r="J36" vm="241">
        <f ca="1"/>
        <v>44971</v>
      </c>
      <c r="K36" vm="145">
        <f ca="1"/>
        <v>25.94</v>
      </c>
    </row>
    <row r="37" spans="4:11" x14ac:dyDescent="0.3">
      <c r="D37" vm="242">
        <f ca="1"/>
        <v>43878</v>
      </c>
      <c r="E37" vm="243">
        <f ca="1"/>
        <v>54.5</v>
      </c>
      <c r="F37" vm="244">
        <f ca="1"/>
        <v>44244</v>
      </c>
      <c r="G37" vm="245">
        <f ca="1"/>
        <v>38.479999999999997</v>
      </c>
      <c r="H37" vm="246">
        <f ca="1"/>
        <v>44608</v>
      </c>
      <c r="I37" vm="247">
        <f ca="1"/>
        <v>30.04</v>
      </c>
      <c r="J37" vm="248">
        <f ca="1"/>
        <v>44972</v>
      </c>
      <c r="K37" vm="249">
        <f ca="1"/>
        <v>25.93</v>
      </c>
    </row>
    <row r="38" spans="4:11" x14ac:dyDescent="0.3">
      <c r="D38" vm="250">
        <f ca="1"/>
        <v>43879</v>
      </c>
      <c r="E38" vm="251">
        <f ca="1"/>
        <v>54.55</v>
      </c>
      <c r="F38" vm="252">
        <f ca="1"/>
        <v>44245</v>
      </c>
      <c r="G38" vm="253">
        <f ca="1"/>
        <v>38.6</v>
      </c>
      <c r="H38" vm="254">
        <f ca="1"/>
        <v>44609</v>
      </c>
      <c r="I38" vm="255">
        <f ca="1"/>
        <v>29.74</v>
      </c>
      <c r="J38" vm="256">
        <f ca="1"/>
        <v>44973</v>
      </c>
      <c r="K38" vm="257">
        <f ca="1"/>
        <v>25.96</v>
      </c>
    </row>
    <row r="39" spans="4:11" x14ac:dyDescent="0.3">
      <c r="D39" vm="258">
        <f ca="1"/>
        <v>43880</v>
      </c>
      <c r="E39" vm="177">
        <f ca="1"/>
        <v>55.1</v>
      </c>
      <c r="F39" vm="259">
        <f ca="1"/>
        <v>44246</v>
      </c>
      <c r="G39" vm="231">
        <f ca="1"/>
        <v>38.24</v>
      </c>
      <c r="H39" vm="260">
        <f ca="1"/>
        <v>44610</v>
      </c>
      <c r="I39" vm="261">
        <f ca="1"/>
        <v>29.59</v>
      </c>
      <c r="J39" vm="262">
        <f ca="1"/>
        <v>44974</v>
      </c>
      <c r="K39" vm="263">
        <f ca="1"/>
        <v>26.01</v>
      </c>
    </row>
    <row r="40" spans="4:11" x14ac:dyDescent="0.3">
      <c r="D40" vm="264">
        <f ca="1"/>
        <v>43881</v>
      </c>
      <c r="E40" vm="265">
        <f ca="1"/>
        <v>54.7</v>
      </c>
      <c r="F40" vm="266">
        <f ca="1"/>
        <v>44249</v>
      </c>
      <c r="G40" vm="267">
        <f ca="1"/>
        <v>38.200000000000003</v>
      </c>
      <c r="H40" vm="268">
        <f ca="1"/>
        <v>44613</v>
      </c>
      <c r="I40" vm="269">
        <f ca="1"/>
        <v>28.96</v>
      </c>
      <c r="J40" vm="270">
        <f ca="1"/>
        <v>44977</v>
      </c>
      <c r="K40" vm="271">
        <f ca="1"/>
        <v>26.2</v>
      </c>
    </row>
    <row r="41" spans="4:11" x14ac:dyDescent="0.3">
      <c r="D41" vm="272">
        <f ca="1"/>
        <v>43882</v>
      </c>
      <c r="E41" vm="265">
        <f ca="1"/>
        <v>54.7</v>
      </c>
      <c r="F41" vm="273">
        <f ca="1"/>
        <v>44250</v>
      </c>
      <c r="G41" vm="274">
        <f ca="1"/>
        <v>38.700000000000003</v>
      </c>
      <c r="H41" vm="275">
        <f ca="1"/>
        <v>44614</v>
      </c>
      <c r="I41" vm="276">
        <f ca="1"/>
        <v>28.32</v>
      </c>
      <c r="J41" vm="277">
        <f ca="1"/>
        <v>44978</v>
      </c>
      <c r="K41" vm="278">
        <f ca="1"/>
        <v>26.18</v>
      </c>
    </row>
    <row r="42" spans="4:11" x14ac:dyDescent="0.3">
      <c r="D42" vm="279">
        <f ca="1"/>
        <v>43885</v>
      </c>
      <c r="E42" vm="280">
        <f ca="1"/>
        <v>53</v>
      </c>
      <c r="F42" vm="281">
        <f ca="1"/>
        <v>44251</v>
      </c>
      <c r="G42" vm="282">
        <f ca="1"/>
        <v>38.78</v>
      </c>
      <c r="H42" vm="283">
        <f ca="1"/>
        <v>44615</v>
      </c>
      <c r="I42" vm="276">
        <f ca="1"/>
        <v>28.32</v>
      </c>
      <c r="J42" vm="284">
        <f ca="1"/>
        <v>44979</v>
      </c>
      <c r="K42" vm="114">
        <f ca="1"/>
        <v>25.74</v>
      </c>
    </row>
    <row r="43" spans="4:11" x14ac:dyDescent="0.3">
      <c r="D43" vm="285">
        <f ca="1"/>
        <v>43886</v>
      </c>
      <c r="E43" vm="286">
        <f ca="1"/>
        <v>51.95</v>
      </c>
      <c r="F43" vm="287">
        <f ca="1"/>
        <v>44252</v>
      </c>
      <c r="G43" vm="185">
        <f ca="1"/>
        <v>38.5</v>
      </c>
      <c r="H43" vm="288">
        <f ca="1"/>
        <v>44616</v>
      </c>
      <c r="I43" vm="289">
        <f ca="1"/>
        <v>27.54</v>
      </c>
      <c r="J43" vm="290">
        <f ca="1"/>
        <v>44980</v>
      </c>
      <c r="K43" vm="291">
        <f ca="1"/>
        <v>26.23</v>
      </c>
    </row>
    <row r="44" spans="4:11" x14ac:dyDescent="0.3">
      <c r="D44" vm="292">
        <f ca="1"/>
        <v>43887</v>
      </c>
      <c r="E44" vm="293">
        <f ca="1"/>
        <v>52.5</v>
      </c>
      <c r="F44" vm="294">
        <f ca="1"/>
        <v>44253</v>
      </c>
      <c r="G44" vm="295">
        <f ca="1"/>
        <v>37.96</v>
      </c>
      <c r="H44" vm="296">
        <f ca="1"/>
        <v>44617</v>
      </c>
      <c r="I44" vm="297">
        <f ca="1"/>
        <v>28.29</v>
      </c>
      <c r="J44" vm="298">
        <f ca="1"/>
        <v>44981</v>
      </c>
      <c r="K44" vm="278">
        <f ca="1"/>
        <v>26.18</v>
      </c>
    </row>
    <row r="45" spans="4:11" x14ac:dyDescent="0.3">
      <c r="D45" vm="299">
        <f ca="1"/>
        <v>43888</v>
      </c>
      <c r="E45" vm="300">
        <f ca="1"/>
        <v>50.7</v>
      </c>
      <c r="F45" vm="301">
        <f ca="1"/>
        <v>44256</v>
      </c>
      <c r="G45" vm="302">
        <f ca="1"/>
        <v>38.56</v>
      </c>
      <c r="H45" vm="303">
        <f ca="1"/>
        <v>44620</v>
      </c>
      <c r="I45" vm="15">
        <f ca="1"/>
        <v>27.97</v>
      </c>
      <c r="J45" vm="304">
        <f ca="1"/>
        <v>44984</v>
      </c>
      <c r="K45" vm="305">
        <f ca="1"/>
        <v>26.43</v>
      </c>
    </row>
    <row r="46" spans="4:11" x14ac:dyDescent="0.3">
      <c r="D46" vm="306">
        <f ca="1"/>
        <v>43889</v>
      </c>
      <c r="E46" vm="307">
        <f ca="1"/>
        <v>48.8</v>
      </c>
      <c r="F46" vm="308">
        <f ca="1"/>
        <v>44257</v>
      </c>
      <c r="G46" vm="309">
        <f ca="1"/>
        <v>38.159999999999997</v>
      </c>
      <c r="H46" vm="310">
        <f ca="1"/>
        <v>44621</v>
      </c>
      <c r="I46" vm="311">
        <f ca="1"/>
        <v>27.72</v>
      </c>
      <c r="J46" vm="312">
        <f ca="1"/>
        <v>44985</v>
      </c>
      <c r="K46" vm="313">
        <f ca="1"/>
        <v>26.16</v>
      </c>
    </row>
    <row r="47" spans="4:11" x14ac:dyDescent="0.3">
      <c r="D47" vm="314">
        <f ca="1"/>
        <v>43892</v>
      </c>
      <c r="E47" vm="315">
        <f ca="1"/>
        <v>49.24</v>
      </c>
      <c r="F47" vm="316">
        <f ca="1"/>
        <v>44258</v>
      </c>
      <c r="G47" vm="317">
        <f ca="1"/>
        <v>38.08</v>
      </c>
      <c r="H47" vm="318">
        <f ca="1"/>
        <v>44622</v>
      </c>
      <c r="I47" vm="319">
        <f ca="1"/>
        <v>28.01</v>
      </c>
      <c r="J47" vm="320">
        <f ca="1"/>
        <v>44986</v>
      </c>
      <c r="K47" vm="321">
        <f ca="1"/>
        <v>26.06</v>
      </c>
    </row>
    <row r="48" spans="4:11" x14ac:dyDescent="0.3">
      <c r="D48" vm="322">
        <f ca="1"/>
        <v>43893</v>
      </c>
      <c r="E48" vm="323">
        <f ca="1"/>
        <v>49.52</v>
      </c>
      <c r="F48" vm="324">
        <f ca="1"/>
        <v>44259</v>
      </c>
      <c r="G48" vm="325">
        <f ca="1"/>
        <v>38.840000000000003</v>
      </c>
      <c r="H48" vm="326">
        <f ca="1"/>
        <v>44623</v>
      </c>
      <c r="I48" vm="327">
        <f ca="1"/>
        <v>27.19</v>
      </c>
      <c r="J48" vm="328">
        <f ca="1"/>
        <v>44987</v>
      </c>
      <c r="K48" vm="329">
        <f ca="1"/>
        <v>26.19</v>
      </c>
    </row>
    <row r="49" spans="4:11" x14ac:dyDescent="0.3">
      <c r="D49" vm="330">
        <f ca="1"/>
        <v>43894</v>
      </c>
      <c r="E49" vm="331">
        <f ca="1"/>
        <v>50.05</v>
      </c>
      <c r="F49" vm="332">
        <f ca="1"/>
        <v>44260</v>
      </c>
      <c r="G49" vm="333">
        <f ca="1"/>
        <v>39.78</v>
      </c>
      <c r="H49" vm="334">
        <f ca="1"/>
        <v>44624</v>
      </c>
      <c r="I49" vm="335">
        <f ca="1"/>
        <v>24.72</v>
      </c>
      <c r="J49" vm="336">
        <f ca="1"/>
        <v>44988</v>
      </c>
      <c r="K49" vm="337">
        <f ca="1"/>
        <v>26.45</v>
      </c>
    </row>
    <row r="50" spans="4:11" x14ac:dyDescent="0.3">
      <c r="D50" vm="338">
        <f ca="1"/>
        <v>43895</v>
      </c>
      <c r="E50" vm="339">
        <f ca="1"/>
        <v>48.9</v>
      </c>
      <c r="F50" vm="340">
        <f ca="1"/>
        <v>44263</v>
      </c>
      <c r="G50" vm="341">
        <f ca="1"/>
        <v>40.74</v>
      </c>
      <c r="H50" vm="342">
        <f ca="1"/>
        <v>44627</v>
      </c>
      <c r="I50" vm="343">
        <f ca="1"/>
        <v>25.47</v>
      </c>
      <c r="J50" vm="344">
        <f ca="1"/>
        <v>44991</v>
      </c>
      <c r="K50" vm="98">
        <f ca="1"/>
        <v>26.39</v>
      </c>
    </row>
    <row r="51" spans="4:11" x14ac:dyDescent="0.3">
      <c r="D51" vm="345">
        <f ca="1"/>
        <v>43896</v>
      </c>
      <c r="E51" vm="346">
        <f ca="1"/>
        <v>46.22</v>
      </c>
      <c r="F51" vm="347">
        <f ca="1"/>
        <v>44264</v>
      </c>
      <c r="G51" vm="348">
        <f ca="1"/>
        <v>40.799999999999997</v>
      </c>
      <c r="H51" vm="349">
        <f ca="1"/>
        <v>44628</v>
      </c>
      <c r="I51" vm="350">
        <f ca="1"/>
        <v>25.9</v>
      </c>
      <c r="J51" vm="351">
        <f ca="1"/>
        <v>44992</v>
      </c>
      <c r="K51" vm="352">
        <f ca="1"/>
        <v>26.33</v>
      </c>
    </row>
    <row r="52" spans="4:11" x14ac:dyDescent="0.3">
      <c r="D52" vm="353">
        <f ca="1"/>
        <v>43899</v>
      </c>
      <c r="E52" vm="354">
        <f ca="1"/>
        <v>42.82</v>
      </c>
      <c r="F52" vm="355">
        <f ca="1"/>
        <v>44265</v>
      </c>
      <c r="G52" vm="356">
        <f ca="1"/>
        <v>41.5</v>
      </c>
      <c r="H52" vm="357">
        <f ca="1"/>
        <v>44629</v>
      </c>
      <c r="I52" vm="358">
        <f ca="1"/>
        <v>26.89</v>
      </c>
      <c r="J52" vm="359">
        <f ca="1"/>
        <v>44993</v>
      </c>
      <c r="K52" vm="360">
        <f ca="1"/>
        <v>26.41</v>
      </c>
    </row>
    <row r="53" spans="4:11" x14ac:dyDescent="0.3">
      <c r="D53" vm="361">
        <f ca="1"/>
        <v>43900</v>
      </c>
      <c r="E53" vm="362">
        <f ca="1"/>
        <v>41.92</v>
      </c>
      <c r="F53" vm="363">
        <f ca="1"/>
        <v>44266</v>
      </c>
      <c r="G53" vm="364">
        <f ca="1"/>
        <v>40.880000000000003</v>
      </c>
      <c r="H53" vm="365">
        <f ca="1"/>
        <v>44630</v>
      </c>
      <c r="I53" vm="366">
        <f ca="1"/>
        <v>26.42</v>
      </c>
      <c r="J53" vm="367">
        <f ca="1"/>
        <v>44994</v>
      </c>
      <c r="K53" vm="368">
        <f ca="1"/>
        <v>26.29</v>
      </c>
    </row>
    <row r="54" spans="4:11" x14ac:dyDescent="0.3">
      <c r="D54" vm="369">
        <f ca="1"/>
        <v>43901</v>
      </c>
      <c r="E54" vm="370">
        <f ca="1"/>
        <v>40.44</v>
      </c>
      <c r="F54" vm="371">
        <f ca="1"/>
        <v>44267</v>
      </c>
      <c r="G54" vm="372">
        <f ca="1"/>
        <v>41.36</v>
      </c>
      <c r="H54" vm="373">
        <f ca="1"/>
        <v>44631</v>
      </c>
      <c r="I54" vm="374">
        <f ca="1"/>
        <v>28.45</v>
      </c>
      <c r="J54" vm="375">
        <f ca="1"/>
        <v>44995</v>
      </c>
      <c r="K54" vm="376">
        <f ca="1"/>
        <v>25.95</v>
      </c>
    </row>
    <row r="55" spans="4:11" x14ac:dyDescent="0.3">
      <c r="D55" vm="377">
        <f ca="1"/>
        <v>43902</v>
      </c>
      <c r="E55" vm="378">
        <f ca="1"/>
        <v>35.700000000000003</v>
      </c>
      <c r="F55" vm="379">
        <f ca="1"/>
        <v>44270</v>
      </c>
      <c r="G55" vm="348">
        <f ca="1"/>
        <v>40.799999999999997</v>
      </c>
      <c r="H55" vm="380">
        <f ca="1"/>
        <v>44634</v>
      </c>
      <c r="I55" vm="381">
        <f ca="1"/>
        <v>26.11</v>
      </c>
      <c r="J55" vm="382">
        <f ca="1"/>
        <v>44998</v>
      </c>
      <c r="K55" vm="383">
        <f ca="1"/>
        <v>25.24</v>
      </c>
    </row>
    <row r="56" spans="4:11" x14ac:dyDescent="0.3">
      <c r="D56" vm="384">
        <f ca="1"/>
        <v>43903</v>
      </c>
      <c r="E56" vm="325">
        <f ca="1"/>
        <v>38.840000000000003</v>
      </c>
      <c r="F56" vm="385">
        <f ca="1"/>
        <v>44271</v>
      </c>
      <c r="G56" vm="386">
        <f ca="1"/>
        <v>40.6</v>
      </c>
      <c r="H56" vm="387">
        <f ca="1"/>
        <v>44635</v>
      </c>
      <c r="I56" vm="388">
        <f ca="1"/>
        <v>26.71</v>
      </c>
      <c r="J56" vm="389">
        <f ca="1"/>
        <v>44999</v>
      </c>
      <c r="K56" vm="390">
        <f ca="1"/>
        <v>25.31</v>
      </c>
    </row>
    <row r="57" spans="4:11" x14ac:dyDescent="0.3">
      <c r="D57" vm="391">
        <f ca="1"/>
        <v>43906</v>
      </c>
      <c r="E57" vm="392">
        <f ca="1"/>
        <v>37.36</v>
      </c>
      <c r="F57" vm="393">
        <f ca="1"/>
        <v>44272</v>
      </c>
      <c r="G57" vm="394">
        <f ca="1"/>
        <v>40.36</v>
      </c>
      <c r="H57" vm="395">
        <f ca="1"/>
        <v>44636</v>
      </c>
      <c r="I57" vm="396">
        <f ca="1"/>
        <v>26.78</v>
      </c>
      <c r="J57" vm="397">
        <f ca="1"/>
        <v>45000</v>
      </c>
      <c r="K57" vm="398">
        <f ca="1"/>
        <v>24.37</v>
      </c>
    </row>
    <row r="58" spans="4:11" x14ac:dyDescent="0.3">
      <c r="D58" vm="399">
        <f ca="1"/>
        <v>43907</v>
      </c>
      <c r="E58" vm="400">
        <f ca="1"/>
        <v>40.64</v>
      </c>
      <c r="F58" vm="401">
        <f ca="1"/>
        <v>44273</v>
      </c>
      <c r="G58" vm="402">
        <f ca="1"/>
        <v>40.299999999999997</v>
      </c>
      <c r="H58" vm="403">
        <f ca="1"/>
        <v>44637</v>
      </c>
      <c r="I58" vm="404">
        <f ca="1"/>
        <v>26.85</v>
      </c>
      <c r="J58" vm="405">
        <f ca="1"/>
        <v>45001</v>
      </c>
      <c r="K58" vm="406">
        <f ca="1"/>
        <v>24.75</v>
      </c>
    </row>
    <row r="59" spans="4:11" x14ac:dyDescent="0.3">
      <c r="D59" vm="407">
        <f ca="1"/>
        <v>43908</v>
      </c>
      <c r="E59" vm="408">
        <f ca="1"/>
        <v>43.54</v>
      </c>
      <c r="F59" vm="409">
        <f ca="1"/>
        <v>44274</v>
      </c>
      <c r="G59" vm="410">
        <f ca="1"/>
        <v>40.119999999999997</v>
      </c>
      <c r="H59" vm="411">
        <f ca="1"/>
        <v>44638</v>
      </c>
      <c r="I59" vm="388">
        <f ca="1"/>
        <v>26.71</v>
      </c>
      <c r="J59" vm="412">
        <f ca="1"/>
        <v>45002</v>
      </c>
      <c r="K59" vm="413">
        <f ca="1"/>
        <v>24.34</v>
      </c>
    </row>
    <row r="60" spans="4:11" x14ac:dyDescent="0.3">
      <c r="D60" vm="414">
        <f ca="1"/>
        <v>43909</v>
      </c>
      <c r="E60" vm="415">
        <f ca="1"/>
        <v>43.2</v>
      </c>
      <c r="F60" vm="416">
        <f ca="1"/>
        <v>44277</v>
      </c>
      <c r="G60" vm="402">
        <f ca="1"/>
        <v>40.299999999999997</v>
      </c>
      <c r="H60" vm="417">
        <f ca="1"/>
        <v>44641</v>
      </c>
      <c r="I60" vm="418">
        <f ca="1"/>
        <v>27.78</v>
      </c>
      <c r="J60" vm="419">
        <f ca="1"/>
        <v>45005</v>
      </c>
      <c r="K60" vm="420">
        <f ca="1"/>
        <v>24.45</v>
      </c>
    </row>
    <row r="61" spans="4:11" x14ac:dyDescent="0.3">
      <c r="D61" vm="421">
        <f ca="1"/>
        <v>43910</v>
      </c>
      <c r="E61" vm="422">
        <f ca="1"/>
        <v>41.48</v>
      </c>
      <c r="F61" vm="423">
        <f ca="1"/>
        <v>44278</v>
      </c>
      <c r="G61" vm="424">
        <f ca="1"/>
        <v>40.06</v>
      </c>
      <c r="H61" vm="425">
        <f ca="1"/>
        <v>44642</v>
      </c>
      <c r="I61" vm="426">
        <f ca="1"/>
        <v>27.74</v>
      </c>
      <c r="J61" vm="427">
        <f ca="1"/>
        <v>45006</v>
      </c>
      <c r="K61" vm="428">
        <f ca="1"/>
        <v>24.7</v>
      </c>
    </row>
    <row r="62" spans="4:11" x14ac:dyDescent="0.3">
      <c r="D62" vm="429">
        <f ca="1"/>
        <v>43913</v>
      </c>
      <c r="E62" vm="80">
        <f ca="1"/>
        <v>39.86</v>
      </c>
      <c r="F62" vm="430">
        <f ca="1"/>
        <v>44279</v>
      </c>
      <c r="G62" vm="431">
        <f ca="1"/>
        <v>40.380000000000003</v>
      </c>
      <c r="H62" vm="432">
        <f ca="1"/>
        <v>44643</v>
      </c>
      <c r="I62" vm="433">
        <f ca="1"/>
        <v>27.53</v>
      </c>
      <c r="J62" vm="434">
        <f ca="1"/>
        <v>45007</v>
      </c>
      <c r="K62" vm="435">
        <f ca="1"/>
        <v>24.33</v>
      </c>
    </row>
    <row r="63" spans="4:11" x14ac:dyDescent="0.3">
      <c r="D63" vm="436">
        <f ca="1"/>
        <v>43914</v>
      </c>
      <c r="E63" vm="437">
        <f ca="1"/>
        <v>42.86</v>
      </c>
      <c r="F63" vm="438">
        <f ca="1"/>
        <v>44280</v>
      </c>
      <c r="G63" vm="439">
        <f ca="1"/>
        <v>40.18</v>
      </c>
      <c r="H63" vm="440">
        <f ca="1"/>
        <v>44644</v>
      </c>
      <c r="I63" vm="441">
        <f ca="1"/>
        <v>26.81</v>
      </c>
      <c r="J63" vm="442">
        <f ca="1"/>
        <v>45008</v>
      </c>
      <c r="K63" vm="443">
        <f ca="1"/>
        <v>24.09</v>
      </c>
    </row>
    <row r="64" spans="4:11" x14ac:dyDescent="0.3">
      <c r="D64" vm="444">
        <f ca="1"/>
        <v>43915</v>
      </c>
      <c r="E64" vm="445">
        <f ca="1"/>
        <v>41.68</v>
      </c>
      <c r="F64" vm="446">
        <f ca="1"/>
        <v>44281</v>
      </c>
      <c r="G64" vm="447">
        <f ca="1"/>
        <v>40.479999999999997</v>
      </c>
      <c r="H64" vm="448">
        <f ca="1"/>
        <v>44645</v>
      </c>
      <c r="I64" vm="449">
        <f ca="1"/>
        <v>26.93</v>
      </c>
      <c r="J64" vm="450">
        <f ca="1"/>
        <v>45009</v>
      </c>
      <c r="K64" vm="451">
        <f ca="1"/>
        <v>23.73</v>
      </c>
    </row>
    <row r="65" spans="4:11" x14ac:dyDescent="0.3">
      <c r="D65" vm="452">
        <f ca="1"/>
        <v>43916</v>
      </c>
      <c r="E65" vm="453">
        <f ca="1"/>
        <v>43.62</v>
      </c>
      <c r="F65" vm="454">
        <f ca="1"/>
        <v>44284</v>
      </c>
      <c r="G65" vm="455">
        <f ca="1"/>
        <v>40.54</v>
      </c>
      <c r="H65" vm="456">
        <f ca="1"/>
        <v>44648</v>
      </c>
      <c r="I65" vm="457">
        <f ca="1"/>
        <v>26.76</v>
      </c>
      <c r="J65" vm="458">
        <f ca="1"/>
        <v>45012</v>
      </c>
      <c r="K65" vm="459">
        <f ca="1"/>
        <v>23.71</v>
      </c>
    </row>
    <row r="66" spans="4:11" x14ac:dyDescent="0.3">
      <c r="D66" vm="460">
        <f ca="1"/>
        <v>43917</v>
      </c>
      <c r="E66" vm="461">
        <f ca="1"/>
        <v>42.38</v>
      </c>
      <c r="F66" vm="462">
        <f ca="1"/>
        <v>44285</v>
      </c>
      <c r="G66" vm="463">
        <f ca="1"/>
        <v>40.9</v>
      </c>
      <c r="H66" vm="464">
        <f ca="1"/>
        <v>44649</v>
      </c>
      <c r="I66" vm="465">
        <f ca="1"/>
        <v>26.98</v>
      </c>
      <c r="J66" vm="466">
        <f ca="1"/>
        <v>45013</v>
      </c>
      <c r="K66" vm="467">
        <f ca="1"/>
        <v>23.81</v>
      </c>
    </row>
    <row r="67" spans="4:11" x14ac:dyDescent="0.3">
      <c r="D67" vm="468">
        <f ca="1"/>
        <v>43920</v>
      </c>
      <c r="E67" vm="469">
        <f ca="1"/>
        <v>39.340000000000003</v>
      </c>
      <c r="F67" vm="470">
        <f ca="1"/>
        <v>44286</v>
      </c>
      <c r="G67" vm="471">
        <f ca="1"/>
        <v>40.4</v>
      </c>
      <c r="H67" vm="472">
        <f ca="1"/>
        <v>44650</v>
      </c>
      <c r="I67" vm="473">
        <f ca="1"/>
        <v>26.91</v>
      </c>
      <c r="J67" vm="474">
        <f ca="1"/>
        <v>45014</v>
      </c>
      <c r="K67" vm="475">
        <f ca="1"/>
        <v>23.94</v>
      </c>
    </row>
    <row r="68" spans="4:11" x14ac:dyDescent="0.3">
      <c r="D68" vm="476">
        <f ca="1"/>
        <v>43921</v>
      </c>
      <c r="E68" vm="477">
        <f ca="1"/>
        <v>38.06</v>
      </c>
      <c r="F68" vm="478">
        <f ca="1"/>
        <v>44287</v>
      </c>
      <c r="G68" vm="479">
        <f ca="1"/>
        <v>41.13</v>
      </c>
      <c r="H68" vm="480">
        <f ca="1"/>
        <v>44651</v>
      </c>
      <c r="I68" vm="481">
        <f ca="1"/>
        <v>26.67</v>
      </c>
      <c r="J68" vm="482">
        <f ca="1"/>
        <v>45015</v>
      </c>
      <c r="K68" vm="483">
        <f ca="1"/>
        <v>24.52</v>
      </c>
    </row>
    <row r="69" spans="4:11" x14ac:dyDescent="0.3">
      <c r="D69" vm="484">
        <f ca="1"/>
        <v>43922</v>
      </c>
      <c r="E69" vm="485">
        <f ca="1"/>
        <v>37.799999999999997</v>
      </c>
      <c r="F69" vm="486">
        <f ca="1"/>
        <v>44292</v>
      </c>
      <c r="G69" vm="487">
        <f ca="1"/>
        <v>41.34</v>
      </c>
      <c r="H69" vm="488">
        <f ca="1"/>
        <v>44652</v>
      </c>
      <c r="I69" vm="489">
        <f ca="1"/>
        <v>27.03</v>
      </c>
      <c r="J69" vm="490">
        <f ca="1"/>
        <v>45016</v>
      </c>
      <c r="K69" vm="491">
        <f ca="1"/>
        <v>24.67</v>
      </c>
    </row>
    <row r="70" spans="4:11" x14ac:dyDescent="0.3">
      <c r="D70" vm="492">
        <f ca="1"/>
        <v>43923</v>
      </c>
      <c r="E70" vm="493">
        <f ca="1"/>
        <v>38.92</v>
      </c>
      <c r="F70" vm="494">
        <f ca="1"/>
        <v>44293</v>
      </c>
      <c r="G70" vm="495">
        <f ca="1"/>
        <v>41.85</v>
      </c>
      <c r="H70" vm="496">
        <f ca="1"/>
        <v>44655</v>
      </c>
      <c r="I70" vm="396">
        <f ca="1"/>
        <v>26.78</v>
      </c>
      <c r="J70" vm="497">
        <f ca="1"/>
        <v>45019</v>
      </c>
      <c r="K70" vm="498">
        <f ca="1"/>
        <v>25.04</v>
      </c>
    </row>
    <row r="71" spans="4:11" x14ac:dyDescent="0.3">
      <c r="D71" vm="499">
        <f ca="1"/>
        <v>43924</v>
      </c>
      <c r="E71" vm="500">
        <f ca="1"/>
        <v>39</v>
      </c>
      <c r="F71" vm="501">
        <f ca="1"/>
        <v>44294</v>
      </c>
      <c r="G71" vm="502">
        <f ca="1"/>
        <v>41.75</v>
      </c>
      <c r="H71" vm="503">
        <f ca="1"/>
        <v>44656</v>
      </c>
      <c r="I71" vm="504">
        <f ca="1"/>
        <v>26.53</v>
      </c>
      <c r="J71" vm="505">
        <f ca="1"/>
        <v>45020</v>
      </c>
      <c r="K71" vm="506">
        <f ca="1"/>
        <v>25.3</v>
      </c>
    </row>
    <row r="72" spans="4:11" x14ac:dyDescent="0.3">
      <c r="D72" vm="507">
        <f ca="1"/>
        <v>43927</v>
      </c>
      <c r="E72" vm="508">
        <f ca="1"/>
        <v>40.58</v>
      </c>
      <c r="F72" vm="509">
        <f ca="1"/>
        <v>44295</v>
      </c>
      <c r="G72" vm="510">
        <f ca="1"/>
        <v>40.200000000000003</v>
      </c>
      <c r="H72" vm="511">
        <f ca="1"/>
        <v>44657</v>
      </c>
      <c r="I72" vm="512">
        <f ca="1"/>
        <v>26.28</v>
      </c>
      <c r="J72" vm="513">
        <f ca="1"/>
        <v>45021</v>
      </c>
      <c r="K72" vm="514">
        <f ca="1"/>
        <v>24.92</v>
      </c>
    </row>
    <row r="73" spans="4:11" x14ac:dyDescent="0.3">
      <c r="D73" vm="515">
        <f ca="1"/>
        <v>43928</v>
      </c>
      <c r="E73" vm="410">
        <f ca="1"/>
        <v>40.119999999999997</v>
      </c>
      <c r="F73" vm="516">
        <f ca="1"/>
        <v>44298</v>
      </c>
      <c r="G73" vm="517">
        <f ca="1"/>
        <v>40.01</v>
      </c>
      <c r="H73" vm="518">
        <f ca="1"/>
        <v>44658</v>
      </c>
      <c r="I73" vm="249">
        <f ca="1"/>
        <v>25.93</v>
      </c>
      <c r="J73" vm="519">
        <f ca="1"/>
        <v>45022</v>
      </c>
      <c r="K73" vm="520">
        <f ca="1"/>
        <v>25.08</v>
      </c>
    </row>
    <row r="74" spans="4:11" x14ac:dyDescent="0.3">
      <c r="D74" vm="521">
        <f ca="1"/>
        <v>43929</v>
      </c>
      <c r="E74" vm="522">
        <f ca="1"/>
        <v>41</v>
      </c>
      <c r="F74" vm="523">
        <f ca="1"/>
        <v>44299</v>
      </c>
      <c r="G74" vm="524">
        <f ca="1"/>
        <v>39.96</v>
      </c>
      <c r="H74" vm="525">
        <f ca="1"/>
        <v>44659</v>
      </c>
      <c r="I74" vm="526">
        <f ca="1"/>
        <v>26.44</v>
      </c>
      <c r="J74" vm="527">
        <f ca="1"/>
        <v>45027</v>
      </c>
      <c r="K74" vm="528">
        <f ca="1"/>
        <v>25.48</v>
      </c>
    </row>
    <row r="75" spans="4:11" x14ac:dyDescent="0.3">
      <c r="D75" vm="529">
        <f ca="1"/>
        <v>43930</v>
      </c>
      <c r="E75" vm="341">
        <f ca="1"/>
        <v>40.74</v>
      </c>
      <c r="F75" vm="530">
        <f ca="1"/>
        <v>44300</v>
      </c>
      <c r="G75" vm="531">
        <f ca="1"/>
        <v>39.799999999999997</v>
      </c>
      <c r="H75" vm="532">
        <f ca="1"/>
        <v>44662</v>
      </c>
      <c r="I75" vm="533">
        <f ca="1"/>
        <v>26.77</v>
      </c>
      <c r="J75" vm="534">
        <f ca="1"/>
        <v>45028</v>
      </c>
      <c r="K75" vm="535">
        <f ca="1"/>
        <v>26</v>
      </c>
    </row>
    <row r="76" spans="4:11" x14ac:dyDescent="0.3">
      <c r="D76" vm="536">
        <f ca="1"/>
        <v>43935</v>
      </c>
      <c r="E76" vm="537">
        <f ca="1"/>
        <v>39.36</v>
      </c>
      <c r="F76" vm="538">
        <f ca="1"/>
        <v>44301</v>
      </c>
      <c r="G76" vm="537">
        <f ca="1"/>
        <v>39.36</v>
      </c>
      <c r="H76" vm="539">
        <f ca="1"/>
        <v>44663</v>
      </c>
      <c r="I76" vm="540">
        <f ca="1"/>
        <v>26.9</v>
      </c>
      <c r="J76" vm="541">
        <f ca="1"/>
        <v>45029</v>
      </c>
      <c r="K76" vm="542">
        <f ca="1"/>
        <v>26.26</v>
      </c>
    </row>
    <row r="77" spans="4:11" x14ac:dyDescent="0.3">
      <c r="D77" vm="543">
        <f ca="1"/>
        <v>43936</v>
      </c>
      <c r="E77" vm="544">
        <f ca="1"/>
        <v>36.26</v>
      </c>
      <c r="F77" vm="545">
        <f ca="1"/>
        <v>44302</v>
      </c>
      <c r="G77" vm="546">
        <f ca="1"/>
        <v>39.450000000000003</v>
      </c>
      <c r="H77" vm="547">
        <f ca="1"/>
        <v>44664</v>
      </c>
      <c r="I77" vm="548">
        <f ca="1"/>
        <v>27.14</v>
      </c>
      <c r="J77" vm="549">
        <f ca="1"/>
        <v>45030</v>
      </c>
      <c r="K77" vm="550">
        <f ca="1"/>
        <v>26.32</v>
      </c>
    </row>
    <row r="78" spans="4:11" x14ac:dyDescent="0.3">
      <c r="D78" vm="551">
        <f ca="1"/>
        <v>43937</v>
      </c>
      <c r="E78" vm="552">
        <f ca="1"/>
        <v>36.159999999999997</v>
      </c>
      <c r="F78" vm="553">
        <f ca="1"/>
        <v>44305</v>
      </c>
      <c r="G78" vm="554">
        <f ca="1"/>
        <v>39.65</v>
      </c>
      <c r="H78" vm="555">
        <f ca="1"/>
        <v>44665</v>
      </c>
      <c r="I78" vm="556">
        <f ca="1"/>
        <v>24.87</v>
      </c>
      <c r="J78" vm="557">
        <f ca="1"/>
        <v>45033</v>
      </c>
      <c r="K78" vm="558">
        <f ca="1"/>
        <v>26.46</v>
      </c>
    </row>
    <row r="79" spans="4:11" x14ac:dyDescent="0.3">
      <c r="D79" vm="559">
        <f ca="1"/>
        <v>43938</v>
      </c>
      <c r="E79" vm="274">
        <f ca="1"/>
        <v>38.700000000000003</v>
      </c>
      <c r="F79" vm="560">
        <f ca="1"/>
        <v>44306</v>
      </c>
      <c r="G79" vm="561">
        <f ca="1"/>
        <v>39.46</v>
      </c>
      <c r="H79" vm="562">
        <f ca="1"/>
        <v>44670</v>
      </c>
      <c r="I79" vm="563">
        <f ca="1"/>
        <v>25.05</v>
      </c>
      <c r="J79" vm="564">
        <f ca="1"/>
        <v>45034</v>
      </c>
      <c r="K79" vm="565">
        <f ca="1"/>
        <v>26.36</v>
      </c>
    </row>
    <row r="80" spans="4:11" x14ac:dyDescent="0.3">
      <c r="D80" vm="566">
        <f ca="1"/>
        <v>43941</v>
      </c>
      <c r="E80" vm="164">
        <f ca="1"/>
        <v>37.92</v>
      </c>
      <c r="F80" vm="567">
        <f ca="1"/>
        <v>44307</v>
      </c>
      <c r="G80" vm="568">
        <f ca="1"/>
        <v>38.93</v>
      </c>
      <c r="H80" vm="569">
        <f ca="1"/>
        <v>44671</v>
      </c>
      <c r="I80" vm="25">
        <f ca="1"/>
        <v>25.14</v>
      </c>
      <c r="J80" vm="570">
        <f ca="1"/>
        <v>45035</v>
      </c>
      <c r="K80" vm="571">
        <f ca="1"/>
        <v>26.1</v>
      </c>
    </row>
    <row r="81" spans="4:11" x14ac:dyDescent="0.3">
      <c r="D81" vm="572">
        <f ca="1"/>
        <v>43942</v>
      </c>
      <c r="E81" vm="573">
        <f ca="1"/>
        <v>37.14</v>
      </c>
      <c r="F81" vm="574">
        <f ca="1"/>
        <v>44308</v>
      </c>
      <c r="G81" vm="575">
        <f ca="1"/>
        <v>39.020000000000003</v>
      </c>
      <c r="H81" vm="576">
        <f ca="1"/>
        <v>44672</v>
      </c>
      <c r="I81" vm="526">
        <f ca="1"/>
        <v>26.44</v>
      </c>
      <c r="J81" vm="577">
        <f ca="1"/>
        <v>45036</v>
      </c>
      <c r="K81" vm="271">
        <f ca="1"/>
        <v>26.2</v>
      </c>
    </row>
    <row r="82" spans="4:11" x14ac:dyDescent="0.3">
      <c r="D82" vm="578">
        <f ca="1"/>
        <v>43943</v>
      </c>
      <c r="E82" vm="579">
        <f ca="1"/>
        <v>40.340000000000003</v>
      </c>
      <c r="F82" vm="580">
        <f ca="1"/>
        <v>44309</v>
      </c>
      <c r="G82" vm="581">
        <f ca="1"/>
        <v>38.47</v>
      </c>
      <c r="H82" vm="582">
        <f ca="1"/>
        <v>44673</v>
      </c>
      <c r="I82" vm="121">
        <f ca="1"/>
        <v>25.7</v>
      </c>
      <c r="J82" vm="583">
        <f ca="1"/>
        <v>45037</v>
      </c>
      <c r="K82" vm="84">
        <f ca="1"/>
        <v>26.08</v>
      </c>
    </row>
    <row r="83" spans="4:11" x14ac:dyDescent="0.3">
      <c r="D83" vm="584">
        <f ca="1"/>
        <v>43944</v>
      </c>
      <c r="E83" vm="52">
        <f ca="1"/>
        <v>40.619999999999997</v>
      </c>
      <c r="F83" vm="585">
        <f ca="1"/>
        <v>44312</v>
      </c>
      <c r="G83" vm="586">
        <f ca="1"/>
        <v>38.85</v>
      </c>
      <c r="H83" vm="587">
        <f ca="1"/>
        <v>44676</v>
      </c>
      <c r="I83" vm="588">
        <f ca="1"/>
        <v>25.28</v>
      </c>
      <c r="J83" vm="589">
        <f ca="1"/>
        <v>45040</v>
      </c>
      <c r="K83" vm="84">
        <f ca="1"/>
        <v>26.08</v>
      </c>
    </row>
    <row r="84" spans="4:11" x14ac:dyDescent="0.3">
      <c r="D84" vm="590">
        <f ca="1"/>
        <v>43945</v>
      </c>
      <c r="E84" vm="591">
        <f ca="1"/>
        <v>40</v>
      </c>
      <c r="F84" vm="592">
        <f ca="1"/>
        <v>44313</v>
      </c>
      <c r="G84" vm="500">
        <f ca="1"/>
        <v>39</v>
      </c>
      <c r="H84" vm="593">
        <f ca="1"/>
        <v>44677</v>
      </c>
      <c r="I84" vm="17">
        <f ca="1"/>
        <v>24.98</v>
      </c>
      <c r="J84" vm="594">
        <f ca="1"/>
        <v>45041</v>
      </c>
      <c r="K84" vm="595">
        <f ca="1"/>
        <v>26.02</v>
      </c>
    </row>
    <row r="85" spans="4:11" x14ac:dyDescent="0.3">
      <c r="D85" vm="596">
        <f ca="1"/>
        <v>43948</v>
      </c>
      <c r="E85" vm="333">
        <f ca="1"/>
        <v>39.78</v>
      </c>
      <c r="F85" vm="597">
        <f ca="1"/>
        <v>44314</v>
      </c>
      <c r="G85" vm="598">
        <f ca="1"/>
        <v>39.25</v>
      </c>
      <c r="H85" vm="599">
        <f ca="1"/>
        <v>44678</v>
      </c>
      <c r="I85" vm="600">
        <f ca="1"/>
        <v>24.84</v>
      </c>
      <c r="J85" vm="601">
        <f ca="1"/>
        <v>45042</v>
      </c>
      <c r="K85" vm="366">
        <f ca="1"/>
        <v>26.42</v>
      </c>
    </row>
    <row r="86" spans="4:11" x14ac:dyDescent="0.3">
      <c r="D86" vm="602">
        <f ca="1"/>
        <v>43949</v>
      </c>
      <c r="E86" vm="603">
        <f ca="1"/>
        <v>39.28</v>
      </c>
      <c r="F86" vm="604">
        <f ca="1"/>
        <v>44315</v>
      </c>
      <c r="G86" vm="605">
        <f ca="1"/>
        <v>39.42</v>
      </c>
      <c r="H86" vm="606">
        <f ca="1"/>
        <v>44679</v>
      </c>
      <c r="I86" vm="40">
        <f ca="1"/>
        <v>25.33</v>
      </c>
      <c r="J86" vm="607">
        <f ca="1"/>
        <v>45043</v>
      </c>
      <c r="K86" vm="366">
        <f ca="1"/>
        <v>26.42</v>
      </c>
    </row>
    <row r="87" spans="4:11" x14ac:dyDescent="0.3">
      <c r="D87" vm="608">
        <f ca="1"/>
        <v>43950</v>
      </c>
      <c r="E87" vm="609">
        <f ca="1"/>
        <v>39.840000000000003</v>
      </c>
      <c r="F87" vm="610">
        <f ca="1"/>
        <v>44316</v>
      </c>
      <c r="G87" vm="611">
        <f ca="1"/>
        <v>39.049999999999997</v>
      </c>
      <c r="H87" vm="612">
        <f ca="1"/>
        <v>44680</v>
      </c>
      <c r="I87" vm="613">
        <f ca="1"/>
        <v>25.44</v>
      </c>
      <c r="J87" vm="614">
        <f ca="1"/>
        <v>45044</v>
      </c>
      <c r="K87" vm="396">
        <f ca="1"/>
        <v>26.78</v>
      </c>
    </row>
    <row r="88" spans="4:11" x14ac:dyDescent="0.3">
      <c r="D88" vm="615">
        <f ca="1"/>
        <v>43951</v>
      </c>
      <c r="E88" vm="616">
        <f ca="1"/>
        <v>40.96</v>
      </c>
      <c r="F88" vm="617">
        <f ca="1"/>
        <v>44319</v>
      </c>
      <c r="G88" vm="598">
        <f ca="1"/>
        <v>39.25</v>
      </c>
      <c r="H88" vm="618">
        <f ca="1"/>
        <v>44683</v>
      </c>
      <c r="I88" vm="390">
        <f ca="1"/>
        <v>25.31</v>
      </c>
      <c r="J88" vm="619">
        <f ca="1"/>
        <v>45048</v>
      </c>
      <c r="K88" vm="321">
        <f ca="1"/>
        <v>26.06</v>
      </c>
    </row>
    <row r="89" spans="4:11" x14ac:dyDescent="0.3">
      <c r="D89" vm="620">
        <f ca="1"/>
        <v>43955</v>
      </c>
      <c r="E89" vm="621">
        <f ca="1"/>
        <v>38.96</v>
      </c>
      <c r="F89" vm="622">
        <f ca="1"/>
        <v>44320</v>
      </c>
      <c r="G89" vm="623">
        <f ca="1"/>
        <v>39.21</v>
      </c>
      <c r="H89" vm="624">
        <f ca="1"/>
        <v>44684</v>
      </c>
      <c r="I89" vm="76">
        <f ca="1"/>
        <v>25.83</v>
      </c>
      <c r="J89" vm="625">
        <f ca="1"/>
        <v>45049</v>
      </c>
      <c r="K89" vm="626">
        <f ca="1"/>
        <v>26.14</v>
      </c>
    </row>
    <row r="90" spans="4:11" x14ac:dyDescent="0.3">
      <c r="D90" vm="627">
        <f ca="1"/>
        <v>43956</v>
      </c>
      <c r="E90" vm="471">
        <f ca="1"/>
        <v>40.4</v>
      </c>
      <c r="F90" vm="628">
        <f ca="1"/>
        <v>44321</v>
      </c>
      <c r="G90" vm="629">
        <f ca="1"/>
        <v>39.72</v>
      </c>
      <c r="H90" vm="630">
        <f ca="1"/>
        <v>44685</v>
      </c>
      <c r="I90" vm="321">
        <f ca="1"/>
        <v>26.06</v>
      </c>
      <c r="J90" vm="631">
        <f ca="1"/>
        <v>45050</v>
      </c>
      <c r="K90" vm="114">
        <f ca="1"/>
        <v>25.74</v>
      </c>
    </row>
    <row r="91" spans="4:11" x14ac:dyDescent="0.3">
      <c r="D91" vm="632">
        <f ca="1"/>
        <v>43957</v>
      </c>
      <c r="E91" vm="410">
        <f ca="1"/>
        <v>40.119999999999997</v>
      </c>
      <c r="F91" vm="633">
        <f ca="1"/>
        <v>44322</v>
      </c>
      <c r="G91" vm="634">
        <f ca="1"/>
        <v>39.92</v>
      </c>
      <c r="H91" vm="635">
        <f ca="1"/>
        <v>44686</v>
      </c>
      <c r="I91" vm="235">
        <f ca="1"/>
        <v>25.86</v>
      </c>
      <c r="J91" vm="636">
        <f ca="1"/>
        <v>45051</v>
      </c>
      <c r="K91" vm="637">
        <f ca="1"/>
        <v>25.5</v>
      </c>
    </row>
    <row r="92" spans="4:11" x14ac:dyDescent="0.3">
      <c r="D92" vm="638">
        <f ca="1"/>
        <v>43958</v>
      </c>
      <c r="E92" vm="639">
        <f ca="1"/>
        <v>41.66</v>
      </c>
      <c r="F92" vm="640">
        <f ca="1"/>
        <v>44323</v>
      </c>
      <c r="G92" vm="641">
        <f ca="1"/>
        <v>37.479999999999997</v>
      </c>
      <c r="H92" vm="642">
        <f ca="1"/>
        <v>44687</v>
      </c>
      <c r="I92" vm="643">
        <f ca="1"/>
        <v>25.62</v>
      </c>
      <c r="J92" vm="644">
        <f ca="1"/>
        <v>45054</v>
      </c>
      <c r="K92" vm="645">
        <f ca="1"/>
        <v>25.68</v>
      </c>
    </row>
    <row r="93" spans="4:11" x14ac:dyDescent="0.3">
      <c r="D93" vm="646">
        <f ca="1"/>
        <v>43959</v>
      </c>
      <c r="E93" vm="639">
        <f ca="1"/>
        <v>41.66</v>
      </c>
      <c r="F93" vm="647">
        <f ca="1"/>
        <v>44326</v>
      </c>
      <c r="G93" vm="648">
        <f ca="1"/>
        <v>37.81</v>
      </c>
      <c r="H93" vm="649">
        <f ca="1"/>
        <v>44690</v>
      </c>
      <c r="I93" vm="650">
        <f ca="1"/>
        <v>25.06</v>
      </c>
      <c r="J93" vm="651">
        <f ca="1"/>
        <v>45055</v>
      </c>
      <c r="K93" vm="652">
        <f ca="1"/>
        <v>25.46</v>
      </c>
    </row>
    <row r="94" spans="4:11" x14ac:dyDescent="0.3">
      <c r="D94" vm="653">
        <f ca="1"/>
        <v>43962</v>
      </c>
      <c r="E94" vm="400">
        <f ca="1"/>
        <v>40.64</v>
      </c>
      <c r="F94" vm="654">
        <f ca="1"/>
        <v>44327</v>
      </c>
      <c r="G94" vm="655">
        <f ca="1"/>
        <v>37.090000000000003</v>
      </c>
      <c r="H94" vm="656">
        <f ca="1"/>
        <v>44691</v>
      </c>
      <c r="I94" vm="657">
        <f ca="1"/>
        <v>25.36</v>
      </c>
      <c r="J94" vm="658">
        <f ca="1"/>
        <v>45056</v>
      </c>
      <c r="K94" vm="643">
        <f ca="1"/>
        <v>25.62</v>
      </c>
    </row>
    <row r="95" spans="4:11" x14ac:dyDescent="0.3">
      <c r="D95" vm="659">
        <f ca="1"/>
        <v>43963</v>
      </c>
      <c r="E95" vm="660">
        <f ca="1"/>
        <v>41.02</v>
      </c>
      <c r="F95" vm="661">
        <f ca="1"/>
        <v>44328</v>
      </c>
      <c r="G95" vm="662">
        <f ca="1"/>
        <v>38.520000000000003</v>
      </c>
      <c r="H95" vm="663">
        <f ca="1"/>
        <v>44692</v>
      </c>
      <c r="I95" vm="376">
        <f ca="1"/>
        <v>25.95</v>
      </c>
      <c r="J95" vm="664">
        <f ca="1"/>
        <v>45057</v>
      </c>
      <c r="K95" vm="121">
        <f ca="1"/>
        <v>25.7</v>
      </c>
    </row>
    <row r="96" spans="4:11" x14ac:dyDescent="0.3">
      <c r="D96" vm="665">
        <f ca="1"/>
        <v>43964</v>
      </c>
      <c r="E96" vm="370">
        <f ca="1"/>
        <v>40.44</v>
      </c>
      <c r="F96" vm="666">
        <f ca="1"/>
        <v>44329</v>
      </c>
      <c r="G96" vm="667">
        <f ca="1"/>
        <v>38.39</v>
      </c>
      <c r="H96" vm="668">
        <f ca="1"/>
        <v>44693</v>
      </c>
      <c r="I96" vm="669">
        <f ca="1"/>
        <v>25.81</v>
      </c>
      <c r="J96" vm="670">
        <f ca="1"/>
        <v>45058</v>
      </c>
      <c r="K96" vm="671">
        <f ca="1"/>
        <v>25.78</v>
      </c>
    </row>
    <row r="97" spans="4:11" x14ac:dyDescent="0.3">
      <c r="D97" vm="672">
        <f ca="1"/>
        <v>43965</v>
      </c>
      <c r="E97" vm="673">
        <f ca="1"/>
        <v>39.54</v>
      </c>
      <c r="F97" vm="674">
        <f ca="1"/>
        <v>44330</v>
      </c>
      <c r="G97" vm="675">
        <f ca="1"/>
        <v>38.81</v>
      </c>
      <c r="H97" vm="676">
        <f ca="1"/>
        <v>44694</v>
      </c>
      <c r="I97" vm="329">
        <f ca="1"/>
        <v>26.19</v>
      </c>
      <c r="J97" vm="677">
        <f ca="1"/>
        <v>45061</v>
      </c>
      <c r="K97" vm="671">
        <f ca="1"/>
        <v>25.78</v>
      </c>
    </row>
    <row r="98" spans="4:11" x14ac:dyDescent="0.3">
      <c r="D98" vm="678">
        <f ca="1"/>
        <v>43966</v>
      </c>
      <c r="E98" vm="424">
        <f ca="1"/>
        <v>40.06</v>
      </c>
      <c r="F98" vm="679">
        <f ca="1"/>
        <v>44333</v>
      </c>
      <c r="G98" vm="680">
        <f ca="1"/>
        <v>39.06</v>
      </c>
      <c r="H98" vm="681">
        <f ca="1"/>
        <v>44697</v>
      </c>
      <c r="I98" vm="540">
        <f ca="1"/>
        <v>26.9</v>
      </c>
      <c r="J98" vm="682">
        <f ca="1"/>
        <v>45062</v>
      </c>
      <c r="K98" vm="68">
        <f ca="1"/>
        <v>25.8</v>
      </c>
    </row>
    <row r="99" spans="4:11" x14ac:dyDescent="0.3">
      <c r="D99" vm="683">
        <f ca="1"/>
        <v>43969</v>
      </c>
      <c r="E99" vm="684">
        <f ca="1"/>
        <v>43.1</v>
      </c>
      <c r="F99" vm="685">
        <f ca="1"/>
        <v>44334</v>
      </c>
      <c r="G99" vm="686">
        <f ca="1"/>
        <v>39.17</v>
      </c>
      <c r="H99" vm="687">
        <f ca="1"/>
        <v>44698</v>
      </c>
      <c r="I99" vm="441">
        <f ca="1"/>
        <v>26.81</v>
      </c>
      <c r="J99" vm="688">
        <f ca="1"/>
        <v>45063</v>
      </c>
      <c r="K99" vm="689">
        <f ca="1"/>
        <v>25.76</v>
      </c>
    </row>
    <row r="100" spans="4:11" x14ac:dyDescent="0.3">
      <c r="D100" vm="690">
        <f ca="1"/>
        <v>43970</v>
      </c>
      <c r="E100" vm="691">
        <f ca="1"/>
        <v>41.9</v>
      </c>
      <c r="F100" vm="692">
        <f ca="1"/>
        <v>44335</v>
      </c>
      <c r="G100" vm="693">
        <f ca="1"/>
        <v>38.880000000000003</v>
      </c>
      <c r="H100" vm="694">
        <f ca="1"/>
        <v>44699</v>
      </c>
      <c r="I100" vm="558">
        <f ca="1"/>
        <v>26.46</v>
      </c>
      <c r="J100" vm="695">
        <f ca="1"/>
        <v>45064</v>
      </c>
      <c r="K100" vm="212">
        <f ca="1"/>
        <v>25.88</v>
      </c>
    </row>
    <row r="101" spans="4:11" x14ac:dyDescent="0.3">
      <c r="D101" vm="696">
        <f ca="1"/>
        <v>43971</v>
      </c>
      <c r="E101" vm="697">
        <f ca="1"/>
        <v>42.34</v>
      </c>
      <c r="F101" vm="698">
        <f ca="1"/>
        <v>44337</v>
      </c>
      <c r="G101" vm="699">
        <f ca="1"/>
        <v>39.03</v>
      </c>
      <c r="H101" vm="700">
        <f ca="1"/>
        <v>44700</v>
      </c>
      <c r="I101" vm="220">
        <f ca="1"/>
        <v>25.85</v>
      </c>
      <c r="J101" vm="701">
        <f ca="1"/>
        <v>45065</v>
      </c>
      <c r="K101" vm="571">
        <f ca="1"/>
        <v>26.1</v>
      </c>
    </row>
    <row r="102" spans="4:11" x14ac:dyDescent="0.3">
      <c r="D102" vm="702">
        <f ca="1"/>
        <v>43972</v>
      </c>
      <c r="E102" vm="703">
        <f ca="1"/>
        <v>41.84</v>
      </c>
      <c r="F102" vm="704">
        <f ca="1"/>
        <v>44340</v>
      </c>
      <c r="G102" vm="500">
        <f ca="1"/>
        <v>39</v>
      </c>
      <c r="H102" vm="705">
        <f ca="1"/>
        <v>44701</v>
      </c>
      <c r="I102" vm="352">
        <f ca="1"/>
        <v>26.33</v>
      </c>
      <c r="J102" vm="706">
        <f ca="1"/>
        <v>45068</v>
      </c>
      <c r="K102" vm="535">
        <f ca="1"/>
        <v>26</v>
      </c>
    </row>
    <row r="103" spans="4:11" x14ac:dyDescent="0.3">
      <c r="D103" vm="707">
        <f ca="1"/>
        <v>43973</v>
      </c>
      <c r="E103" vm="708">
        <f ca="1"/>
        <v>42.18</v>
      </c>
      <c r="F103" vm="709">
        <f ca="1"/>
        <v>44341</v>
      </c>
      <c r="G103" vm="710">
        <f ca="1"/>
        <v>38.549999999999997</v>
      </c>
      <c r="H103" vm="711">
        <f ca="1"/>
        <v>44704</v>
      </c>
      <c r="I103" vm="712">
        <f ca="1"/>
        <v>27.65</v>
      </c>
      <c r="J103" vm="713">
        <f ca="1"/>
        <v>45069</v>
      </c>
      <c r="K103" vm="321">
        <f ca="1"/>
        <v>26.06</v>
      </c>
    </row>
    <row r="104" spans="4:11" x14ac:dyDescent="0.3">
      <c r="D104" vm="714">
        <f ca="1"/>
        <v>43976</v>
      </c>
      <c r="E104" vm="715">
        <f ca="1"/>
        <v>43.02</v>
      </c>
      <c r="F104" vm="716">
        <f ca="1"/>
        <v>44342</v>
      </c>
      <c r="G104" vm="717">
        <f ca="1"/>
        <v>38.659999999999997</v>
      </c>
      <c r="H104" vm="718">
        <f ca="1"/>
        <v>44705</v>
      </c>
      <c r="I104" vm="719">
        <f ca="1"/>
        <v>26.38</v>
      </c>
      <c r="J104" vm="720">
        <f ca="1"/>
        <v>45070</v>
      </c>
      <c r="K104" vm="160">
        <f ca="1"/>
        <v>25.58</v>
      </c>
    </row>
    <row r="105" spans="4:11" x14ac:dyDescent="0.3">
      <c r="D105" vm="721">
        <f ca="1"/>
        <v>43977</v>
      </c>
      <c r="E105" vm="722">
        <f ca="1"/>
        <v>43.78</v>
      </c>
      <c r="F105" vm="723">
        <f ca="1"/>
        <v>44343</v>
      </c>
      <c r="G105" vm="193">
        <f ca="1"/>
        <v>38.979999999999997</v>
      </c>
      <c r="H105" vm="724">
        <f ca="1"/>
        <v>44706</v>
      </c>
      <c r="I105" vm="725">
        <f ca="1"/>
        <v>26.99</v>
      </c>
      <c r="J105" vm="726">
        <f ca="1"/>
        <v>45071</v>
      </c>
      <c r="K105" vm="727">
        <f ca="1"/>
        <v>25.56</v>
      </c>
    </row>
    <row r="106" spans="4:11" x14ac:dyDescent="0.3">
      <c r="D106" vm="728">
        <f ca="1"/>
        <v>43978</v>
      </c>
      <c r="E106" vm="729">
        <f ca="1"/>
        <v>44.72</v>
      </c>
      <c r="F106" vm="730">
        <f ca="1"/>
        <v>44344</v>
      </c>
      <c r="G106" vm="561">
        <f ca="1"/>
        <v>39.46</v>
      </c>
      <c r="H106" vm="731">
        <f ca="1"/>
        <v>44707</v>
      </c>
      <c r="I106" vm="732">
        <f ca="1"/>
        <v>27.31</v>
      </c>
      <c r="J106" vm="733">
        <f ca="1"/>
        <v>45072</v>
      </c>
      <c r="K106" vm="114">
        <f ca="1"/>
        <v>25.74</v>
      </c>
    </row>
    <row r="107" spans="4:11" x14ac:dyDescent="0.3">
      <c r="D107" vm="734">
        <f ca="1"/>
        <v>43979</v>
      </c>
      <c r="E107" vm="735">
        <f ca="1"/>
        <v>44.14</v>
      </c>
      <c r="F107" vm="736">
        <f ca="1"/>
        <v>44347</v>
      </c>
      <c r="G107" vm="737">
        <f ca="1"/>
        <v>39.549999999999997</v>
      </c>
      <c r="H107" vm="738">
        <f ca="1"/>
        <v>44708</v>
      </c>
      <c r="I107" vm="739">
        <f ca="1"/>
        <v>27.3</v>
      </c>
      <c r="J107" vm="740">
        <f ca="1"/>
        <v>45075</v>
      </c>
      <c r="K107" vm="212">
        <f ca="1"/>
        <v>25.88</v>
      </c>
    </row>
    <row r="108" spans="4:11" x14ac:dyDescent="0.3">
      <c r="D108" vm="741">
        <f ca="1"/>
        <v>43980</v>
      </c>
      <c r="E108" vm="742">
        <f ca="1"/>
        <v>42.9</v>
      </c>
      <c r="F108" vm="743">
        <f ca="1"/>
        <v>44348</v>
      </c>
      <c r="G108" vm="744">
        <f ca="1"/>
        <v>40.270000000000003</v>
      </c>
      <c r="H108" vm="745">
        <f ca="1"/>
        <v>44711</v>
      </c>
      <c r="I108" vm="746">
        <f ca="1"/>
        <v>27.44</v>
      </c>
      <c r="J108" vm="747">
        <f ca="1"/>
        <v>45076</v>
      </c>
      <c r="K108" vm="121">
        <f ca="1"/>
        <v>25.7</v>
      </c>
    </row>
    <row r="109" spans="4:11" x14ac:dyDescent="0.3">
      <c r="D109" vm="748">
        <f ca="1"/>
        <v>43983</v>
      </c>
      <c r="E109" vm="722">
        <f ca="1"/>
        <v>43.78</v>
      </c>
      <c r="F109" vm="749">
        <f ca="1"/>
        <v>44349</v>
      </c>
      <c r="G109" vm="341">
        <f ca="1"/>
        <v>40.74</v>
      </c>
      <c r="H109" vm="750">
        <f ca="1"/>
        <v>44712</v>
      </c>
      <c r="I109" vm="751">
        <f ca="1"/>
        <v>28.2</v>
      </c>
      <c r="J109" vm="752">
        <f ca="1"/>
        <v>45077</v>
      </c>
      <c r="K109" vm="637">
        <f ca="1"/>
        <v>25.5</v>
      </c>
    </row>
    <row r="110" spans="4:11" x14ac:dyDescent="0.3">
      <c r="D110" vm="753">
        <f ca="1"/>
        <v>43984</v>
      </c>
      <c r="E110" vm="754">
        <f ca="1"/>
        <v>44.66</v>
      </c>
      <c r="F110" vm="755">
        <f ca="1"/>
        <v>44350</v>
      </c>
      <c r="G110" vm="660">
        <f ca="1"/>
        <v>41.02</v>
      </c>
      <c r="H110" vm="756">
        <f ca="1"/>
        <v>44713</v>
      </c>
      <c r="I110" vm="757">
        <f ca="1"/>
        <v>28.02</v>
      </c>
      <c r="J110" vm="758">
        <f ca="1"/>
        <v>45078</v>
      </c>
      <c r="K110" vm="121">
        <f ca="1"/>
        <v>25.7</v>
      </c>
    </row>
    <row r="111" spans="4:11" x14ac:dyDescent="0.3">
      <c r="D111" vm="759">
        <f ca="1"/>
        <v>43985</v>
      </c>
      <c r="E111" vm="760">
        <f ca="1"/>
        <v>45.78</v>
      </c>
      <c r="F111" vm="761">
        <f ca="1"/>
        <v>44351</v>
      </c>
      <c r="G111" vm="762">
        <f ca="1"/>
        <v>41.47</v>
      </c>
      <c r="H111" vm="763">
        <f ca="1"/>
        <v>44714</v>
      </c>
      <c r="I111" vm="764">
        <f ca="1"/>
        <v>28.64</v>
      </c>
      <c r="J111" vm="765">
        <f ca="1"/>
        <v>45079</v>
      </c>
      <c r="K111" vm="766">
        <f ca="1"/>
        <v>26.34</v>
      </c>
    </row>
    <row r="112" spans="4:11" x14ac:dyDescent="0.3">
      <c r="D112" vm="767">
        <f ca="1"/>
        <v>43986</v>
      </c>
      <c r="E112" vm="768">
        <f ca="1"/>
        <v>45.3</v>
      </c>
      <c r="F112" vm="769">
        <f ca="1"/>
        <v>44354</v>
      </c>
      <c r="G112" vm="770">
        <f ca="1"/>
        <v>41.38</v>
      </c>
      <c r="H112" vm="771">
        <f ca="1"/>
        <v>44715</v>
      </c>
      <c r="I112" vm="772">
        <f ca="1"/>
        <v>28.84</v>
      </c>
      <c r="J112" vm="773">
        <f ca="1"/>
        <v>45082</v>
      </c>
      <c r="K112" vm="774">
        <f ca="1"/>
        <v>26.48</v>
      </c>
    </row>
    <row r="113" spans="4:11" x14ac:dyDescent="0.3">
      <c r="D113" vm="775">
        <f ca="1"/>
        <v>43987</v>
      </c>
      <c r="E113" vm="776">
        <f ca="1"/>
        <v>46.04</v>
      </c>
      <c r="F113" vm="777">
        <f ca="1"/>
        <v>44355</v>
      </c>
      <c r="G113" vm="778">
        <f ca="1"/>
        <v>41.3</v>
      </c>
      <c r="H113" vm="779">
        <f ca="1"/>
        <v>44718</v>
      </c>
      <c r="I113" vm="780">
        <f ca="1"/>
        <v>28.76</v>
      </c>
      <c r="J113" vm="781">
        <f ca="1"/>
        <v>45083</v>
      </c>
      <c r="K113" vm="782">
        <f ca="1"/>
        <v>26.64</v>
      </c>
    </row>
    <row r="114" spans="4:11" x14ac:dyDescent="0.3">
      <c r="D114" vm="783">
        <f ca="1"/>
        <v>43990</v>
      </c>
      <c r="E114" vm="784">
        <f ca="1"/>
        <v>46.78</v>
      </c>
      <c r="F114" vm="785">
        <f ca="1"/>
        <v>44356</v>
      </c>
      <c r="G114" vm="786">
        <f ca="1"/>
        <v>41.2</v>
      </c>
      <c r="H114" vm="787">
        <f ca="1"/>
        <v>44719</v>
      </c>
      <c r="I114" vm="166">
        <f ca="1"/>
        <v>28.5</v>
      </c>
      <c r="J114" vm="788">
        <f ca="1"/>
        <v>45084</v>
      </c>
      <c r="K114" vm="789">
        <f ca="1"/>
        <v>26.62</v>
      </c>
    </row>
    <row r="115" spans="4:11" x14ac:dyDescent="0.3">
      <c r="D115" vm="790">
        <f ca="1"/>
        <v>43991</v>
      </c>
      <c r="E115" vm="776">
        <f ca="1"/>
        <v>46.04</v>
      </c>
      <c r="F115" vm="791">
        <f ca="1"/>
        <v>44357</v>
      </c>
      <c r="G115" vm="792">
        <f ca="1"/>
        <v>41.69</v>
      </c>
      <c r="H115" vm="793">
        <f ca="1"/>
        <v>44720</v>
      </c>
      <c r="I115" vm="166">
        <f ca="1"/>
        <v>28.5</v>
      </c>
      <c r="J115" vm="794">
        <f ca="1"/>
        <v>45085</v>
      </c>
      <c r="K115" vm="795">
        <f ca="1"/>
        <v>26.82</v>
      </c>
    </row>
    <row r="116" spans="4:11" x14ac:dyDescent="0.3">
      <c r="D116" vm="796">
        <f ca="1"/>
        <v>43992</v>
      </c>
      <c r="E116" vm="797">
        <f ca="1"/>
        <v>45.56</v>
      </c>
      <c r="F116" vm="798">
        <f ca="1"/>
        <v>44358</v>
      </c>
      <c r="G116" vm="799">
        <f ca="1"/>
        <v>42.12</v>
      </c>
      <c r="H116" vm="800">
        <f ca="1"/>
        <v>44721</v>
      </c>
      <c r="I116" vm="166">
        <f ca="1"/>
        <v>28.5</v>
      </c>
      <c r="J116" vm="801">
        <f ca="1"/>
        <v>45086</v>
      </c>
      <c r="K116" vm="396">
        <f ca="1"/>
        <v>26.78</v>
      </c>
    </row>
    <row r="117" spans="4:11" x14ac:dyDescent="0.3">
      <c r="D117" vm="802">
        <f ca="1"/>
        <v>43993</v>
      </c>
      <c r="E117" vm="803">
        <f ca="1"/>
        <v>43.58</v>
      </c>
      <c r="F117" vm="804">
        <f ca="1"/>
        <v>44361</v>
      </c>
      <c r="G117" vm="805">
        <f ca="1"/>
        <v>42.22</v>
      </c>
      <c r="H117" vm="806">
        <f ca="1"/>
        <v>44722</v>
      </c>
      <c r="I117" vm="31">
        <f ca="1"/>
        <v>27.94</v>
      </c>
      <c r="J117" vm="807">
        <f ca="1"/>
        <v>45089</v>
      </c>
      <c r="K117" vm="808">
        <f ca="1"/>
        <v>26.6</v>
      </c>
    </row>
    <row r="118" spans="4:11" x14ac:dyDescent="0.3">
      <c r="D118" vm="809">
        <f ca="1"/>
        <v>43994</v>
      </c>
      <c r="E118" vm="810">
        <f ca="1"/>
        <v>44.26</v>
      </c>
      <c r="F118" vm="811">
        <f ca="1"/>
        <v>44362</v>
      </c>
      <c r="G118" vm="770">
        <f ca="1"/>
        <v>41.38</v>
      </c>
      <c r="H118" vm="812">
        <f ca="1"/>
        <v>44725</v>
      </c>
      <c r="I118" vm="774">
        <f ca="1"/>
        <v>26.48</v>
      </c>
      <c r="J118" vm="813">
        <f ca="1"/>
        <v>45090</v>
      </c>
      <c r="K118" vm="17">
        <f ca="1"/>
        <v>24.98</v>
      </c>
    </row>
    <row r="119" spans="4:11" x14ac:dyDescent="0.3">
      <c r="D119" vm="814">
        <f ca="1"/>
        <v>43997</v>
      </c>
      <c r="E119" vm="815">
        <f ca="1"/>
        <v>44.36</v>
      </c>
      <c r="F119" vm="816">
        <f ca="1"/>
        <v>44363</v>
      </c>
      <c r="G119" vm="561">
        <f ca="1"/>
        <v>39.46</v>
      </c>
      <c r="H119" vm="817">
        <f ca="1"/>
        <v>44726</v>
      </c>
      <c r="I119" vm="818">
        <f ca="1"/>
        <v>24.25</v>
      </c>
      <c r="J119" vm="819">
        <f ca="1"/>
        <v>45091</v>
      </c>
      <c r="K119" vm="820">
        <f ca="1"/>
        <v>24.94</v>
      </c>
    </row>
    <row r="120" spans="4:11" x14ac:dyDescent="0.3">
      <c r="D120" vm="821">
        <f ca="1"/>
        <v>43998</v>
      </c>
      <c r="E120" vm="822">
        <f ca="1"/>
        <v>45.68</v>
      </c>
      <c r="F120" vm="823">
        <f ca="1"/>
        <v>44364</v>
      </c>
      <c r="G120" vm="824">
        <f ca="1"/>
        <v>39.15</v>
      </c>
      <c r="H120" vm="825">
        <f ca="1"/>
        <v>44727</v>
      </c>
      <c r="I120" vm="443">
        <f ca="1"/>
        <v>24.09</v>
      </c>
      <c r="J120" vm="826">
        <f ca="1"/>
        <v>45092</v>
      </c>
      <c r="K120" vm="827">
        <f ca="1"/>
        <v>23.88</v>
      </c>
    </row>
    <row r="121" spans="4:11" x14ac:dyDescent="0.3">
      <c r="D121" vm="828">
        <f ca="1"/>
        <v>43999</v>
      </c>
      <c r="E121" vm="829">
        <f ca="1"/>
        <v>43.94</v>
      </c>
      <c r="F121" vm="830">
        <f ca="1"/>
        <v>44365</v>
      </c>
      <c r="G121" vm="831">
        <f ca="1"/>
        <v>38.64</v>
      </c>
      <c r="H121" vm="832">
        <f ca="1"/>
        <v>44728</v>
      </c>
      <c r="I121" vm="833">
        <f ca="1"/>
        <v>22.66</v>
      </c>
      <c r="J121" vm="834">
        <f ca="1"/>
        <v>45093</v>
      </c>
      <c r="K121" vm="835">
        <f ca="1"/>
        <v>23.86</v>
      </c>
    </row>
    <row r="122" spans="4:11" x14ac:dyDescent="0.3">
      <c r="D122" vm="836">
        <f ca="1"/>
        <v>44000</v>
      </c>
      <c r="E122" vm="837">
        <f ca="1"/>
        <v>44.5</v>
      </c>
      <c r="F122" vm="838">
        <f ca="1"/>
        <v>44368</v>
      </c>
      <c r="G122" vm="839">
        <f ca="1"/>
        <v>38.29</v>
      </c>
      <c r="H122" vm="840">
        <f ca="1"/>
        <v>44729</v>
      </c>
      <c r="I122" vm="841">
        <f ca="1"/>
        <v>22.53</v>
      </c>
      <c r="J122" vm="842">
        <f ca="1"/>
        <v>45096</v>
      </c>
      <c r="K122" vm="843">
        <f ca="1"/>
        <v>23.56</v>
      </c>
    </row>
    <row r="123" spans="4:11" x14ac:dyDescent="0.3">
      <c r="D123" vm="844">
        <f ca="1"/>
        <v>44001</v>
      </c>
      <c r="E123" vm="845">
        <f ca="1"/>
        <v>45.24</v>
      </c>
      <c r="F123" vm="846">
        <f ca="1"/>
        <v>44369</v>
      </c>
      <c r="G123" vm="847">
        <f ca="1"/>
        <v>38.049999999999997</v>
      </c>
      <c r="H123" vm="848">
        <f ca="1"/>
        <v>44732</v>
      </c>
      <c r="I123" vm="849">
        <f ca="1"/>
        <v>22.81</v>
      </c>
      <c r="J123" vm="850">
        <f ca="1"/>
        <v>45097</v>
      </c>
      <c r="K123" vm="851">
        <f ca="1"/>
        <v>23.16</v>
      </c>
    </row>
    <row r="124" spans="4:11" x14ac:dyDescent="0.3">
      <c r="D124" vm="852">
        <f ca="1"/>
        <v>44004</v>
      </c>
      <c r="E124" vm="853">
        <f ca="1"/>
        <v>43.84</v>
      </c>
      <c r="F124" vm="854">
        <f ca="1"/>
        <v>44370</v>
      </c>
      <c r="G124" vm="855">
        <f ca="1"/>
        <v>37.86</v>
      </c>
      <c r="H124" vm="856">
        <f ca="1"/>
        <v>44733</v>
      </c>
      <c r="I124" vm="843">
        <f ca="1"/>
        <v>23.56</v>
      </c>
      <c r="J124" vm="857">
        <f ca="1"/>
        <v>45098</v>
      </c>
      <c r="K124" vm="858">
        <f ca="1"/>
        <v>23.08</v>
      </c>
    </row>
    <row r="125" spans="4:11" x14ac:dyDescent="0.3">
      <c r="D125" vm="859">
        <f ca="1"/>
        <v>44005</v>
      </c>
      <c r="E125" vm="860">
        <f ca="1"/>
        <v>43.7</v>
      </c>
      <c r="F125" vm="861">
        <f ca="1"/>
        <v>44371</v>
      </c>
      <c r="G125" vm="862">
        <f ca="1"/>
        <v>38.17</v>
      </c>
      <c r="H125" vm="863">
        <f ca="1"/>
        <v>44734</v>
      </c>
      <c r="I125" vm="864">
        <f ca="1"/>
        <v>23.1</v>
      </c>
      <c r="J125" vm="865">
        <f ca="1"/>
        <v>45099</v>
      </c>
      <c r="K125" vm="866">
        <f ca="1"/>
        <v>22.58</v>
      </c>
    </row>
    <row r="126" spans="4:11" x14ac:dyDescent="0.3">
      <c r="D126" vm="867">
        <f ca="1"/>
        <v>44006</v>
      </c>
      <c r="E126" vm="868">
        <f ca="1"/>
        <v>42.16</v>
      </c>
      <c r="F126" vm="869">
        <f ca="1"/>
        <v>44372</v>
      </c>
      <c r="G126" vm="245">
        <f ca="1"/>
        <v>38.479999999999997</v>
      </c>
      <c r="H126" vm="870">
        <f ca="1"/>
        <v>44735</v>
      </c>
      <c r="I126" vm="871">
        <f ca="1"/>
        <v>22.04</v>
      </c>
      <c r="J126" vm="872">
        <f ca="1"/>
        <v>45100</v>
      </c>
      <c r="K126" vm="873">
        <f ca="1"/>
        <v>22.54</v>
      </c>
    </row>
    <row r="127" spans="4:11" x14ac:dyDescent="0.3">
      <c r="D127" vm="874">
        <f ca="1"/>
        <v>44007</v>
      </c>
      <c r="E127" vm="708">
        <f ca="1"/>
        <v>42.18</v>
      </c>
      <c r="F127" vm="875">
        <f ca="1"/>
        <v>44375</v>
      </c>
      <c r="G127" vm="876">
        <f ca="1"/>
        <v>38.119999999999997</v>
      </c>
      <c r="H127" vm="877">
        <f ca="1"/>
        <v>44736</v>
      </c>
      <c r="I127" vm="878">
        <f ca="1"/>
        <v>22.28</v>
      </c>
      <c r="J127" vm="879">
        <f ca="1"/>
        <v>45103</v>
      </c>
      <c r="K127" vm="880">
        <f ca="1"/>
        <v>22.02</v>
      </c>
    </row>
    <row r="128" spans="4:11" x14ac:dyDescent="0.3">
      <c r="D128" vm="881">
        <f ca="1"/>
        <v>44008</v>
      </c>
      <c r="E128" vm="799">
        <f ca="1"/>
        <v>42.12</v>
      </c>
      <c r="F128" vm="882">
        <f ca="1"/>
        <v>44376</v>
      </c>
      <c r="G128" vm="883">
        <f ca="1"/>
        <v>37.5</v>
      </c>
      <c r="H128" vm="884">
        <f ca="1"/>
        <v>44739</v>
      </c>
      <c r="I128" vm="885">
        <f ca="1"/>
        <v>22.57</v>
      </c>
      <c r="J128" vm="886">
        <f ca="1"/>
        <v>45104</v>
      </c>
      <c r="K128" vm="887">
        <f ca="1"/>
        <v>22.12</v>
      </c>
    </row>
    <row r="129" spans="4:11" x14ac:dyDescent="0.3">
      <c r="D129" vm="888">
        <f ca="1"/>
        <v>44011</v>
      </c>
      <c r="E129" vm="889">
        <f ca="1"/>
        <v>42.64</v>
      </c>
      <c r="F129" vm="890">
        <f ca="1"/>
        <v>44377</v>
      </c>
      <c r="G129" vm="891">
        <f ca="1"/>
        <v>37.49</v>
      </c>
      <c r="H129" vm="892">
        <f ca="1"/>
        <v>44740</v>
      </c>
      <c r="I129" vm="893">
        <f ca="1"/>
        <v>23.31</v>
      </c>
      <c r="J129" vm="894">
        <f ca="1"/>
        <v>45105</v>
      </c>
      <c r="K129" vm="895">
        <f ca="1"/>
        <v>22.36</v>
      </c>
    </row>
    <row r="130" spans="4:11" x14ac:dyDescent="0.3">
      <c r="D130" vm="896">
        <f ca="1"/>
        <v>44012</v>
      </c>
      <c r="E130" vm="897">
        <f ca="1"/>
        <v>42.78</v>
      </c>
      <c r="F130" vm="898">
        <f ca="1"/>
        <v>44378</v>
      </c>
      <c r="G130" vm="899">
        <f ca="1"/>
        <v>37.44</v>
      </c>
      <c r="H130" vm="900">
        <f ca="1"/>
        <v>44741</v>
      </c>
      <c r="I130" vm="901">
        <f ca="1"/>
        <v>22.92</v>
      </c>
      <c r="J130" vm="902">
        <f ca="1"/>
        <v>45106</v>
      </c>
      <c r="K130" vm="903">
        <f ca="1"/>
        <v>22.18</v>
      </c>
    </row>
    <row r="131" spans="4:11" x14ac:dyDescent="0.3">
      <c r="D131" vm="904">
        <f ca="1"/>
        <v>44013</v>
      </c>
      <c r="E131" vm="905">
        <f ca="1"/>
        <v>43.3</v>
      </c>
      <c r="F131" vm="906">
        <f ca="1"/>
        <v>44379</v>
      </c>
      <c r="G131" vm="907">
        <f ca="1"/>
        <v>37.270000000000003</v>
      </c>
      <c r="H131" vm="908">
        <f ca="1"/>
        <v>44742</v>
      </c>
      <c r="I131" vm="878">
        <f ca="1"/>
        <v>22.28</v>
      </c>
      <c r="J131" vm="909">
        <f ca="1"/>
        <v>45107</v>
      </c>
      <c r="K131" vm="910">
        <f ca="1"/>
        <v>22.24</v>
      </c>
    </row>
    <row r="132" spans="4:11" x14ac:dyDescent="0.3">
      <c r="D132" vm="911">
        <f ca="1"/>
        <v>44014</v>
      </c>
      <c r="E132" vm="912">
        <f ca="1"/>
        <v>43.52</v>
      </c>
      <c r="F132" vm="913">
        <f ca="1"/>
        <v>44382</v>
      </c>
      <c r="G132" vm="914">
        <f ca="1"/>
        <v>37.33</v>
      </c>
      <c r="H132" vm="915">
        <f ca="1"/>
        <v>44743</v>
      </c>
      <c r="I132" vm="916">
        <f ca="1"/>
        <v>22.32</v>
      </c>
      <c r="J132" vm="917">
        <f ca="1"/>
        <v>45110</v>
      </c>
      <c r="K132" vm="918">
        <f ca="1"/>
        <v>22.56</v>
      </c>
    </row>
    <row r="133" spans="4:11" x14ac:dyDescent="0.3">
      <c r="D133" vm="919">
        <f ca="1"/>
        <v>44015</v>
      </c>
      <c r="E133" vm="920">
        <f ca="1"/>
        <v>42.96</v>
      </c>
      <c r="F133" vm="921">
        <f ca="1"/>
        <v>44383</v>
      </c>
      <c r="G133" vm="922">
        <f ca="1"/>
        <v>36.770000000000003</v>
      </c>
      <c r="H133" vm="923">
        <f ca="1"/>
        <v>44746</v>
      </c>
      <c r="I133" vm="901">
        <f ca="1"/>
        <v>22.92</v>
      </c>
      <c r="J133" vm="924">
        <f ca="1"/>
        <v>45111</v>
      </c>
      <c r="K133" vm="925">
        <f ca="1"/>
        <v>22.3</v>
      </c>
    </row>
    <row r="134" spans="4:11" x14ac:dyDescent="0.3">
      <c r="D134" vm="926">
        <f ca="1"/>
        <v>44018</v>
      </c>
      <c r="E134" vm="927">
        <f ca="1"/>
        <v>44.02</v>
      </c>
      <c r="F134" vm="928">
        <f ca="1"/>
        <v>44384</v>
      </c>
      <c r="G134" vm="929">
        <f ca="1"/>
        <v>36.200000000000003</v>
      </c>
      <c r="H134" vm="930">
        <f ca="1"/>
        <v>44747</v>
      </c>
      <c r="I134" vm="931">
        <f ca="1"/>
        <v>21.74</v>
      </c>
      <c r="J134" vm="932">
        <f ca="1"/>
        <v>45112</v>
      </c>
      <c r="K134" vm="933">
        <f ca="1"/>
        <v>22.1</v>
      </c>
    </row>
    <row r="135" spans="4:11" x14ac:dyDescent="0.3">
      <c r="D135" vm="934">
        <f ca="1"/>
        <v>44019</v>
      </c>
      <c r="E135" vm="935">
        <f ca="1"/>
        <v>43.06</v>
      </c>
      <c r="F135" vm="936">
        <f ca="1"/>
        <v>44385</v>
      </c>
      <c r="G135" vm="937">
        <f ca="1"/>
        <v>36</v>
      </c>
      <c r="H135" vm="938">
        <f ca="1"/>
        <v>44748</v>
      </c>
      <c r="I135" vm="895">
        <f ca="1"/>
        <v>22.36</v>
      </c>
      <c r="J135" vm="939">
        <f ca="1"/>
        <v>45113</v>
      </c>
      <c r="K135" vm="940">
        <f ca="1"/>
        <v>21.54</v>
      </c>
    </row>
    <row r="136" spans="4:11" x14ac:dyDescent="0.3">
      <c r="D136" vm="941">
        <f ca="1"/>
        <v>44020</v>
      </c>
      <c r="E136" vm="868">
        <f ca="1"/>
        <v>42.16</v>
      </c>
      <c r="F136" vm="942">
        <f ca="1"/>
        <v>44386</v>
      </c>
      <c r="G136" vm="943">
        <f ca="1"/>
        <v>36.14</v>
      </c>
      <c r="H136" vm="944">
        <f ca="1"/>
        <v>44749</v>
      </c>
      <c r="I136" vm="945">
        <f ca="1"/>
        <v>22.7</v>
      </c>
      <c r="J136" vm="946">
        <f ca="1"/>
        <v>45114</v>
      </c>
      <c r="K136" vm="947">
        <f ca="1"/>
        <v>21.66</v>
      </c>
    </row>
    <row r="137" spans="4:11" x14ac:dyDescent="0.3">
      <c r="D137" vm="948">
        <f ca="1"/>
        <v>44021</v>
      </c>
      <c r="E137" vm="386">
        <f ca="1"/>
        <v>40.6</v>
      </c>
      <c r="F137" vm="949">
        <f ca="1"/>
        <v>44389</v>
      </c>
      <c r="G137" vm="950">
        <f ca="1"/>
        <v>36.6</v>
      </c>
      <c r="H137" vm="951">
        <f ca="1"/>
        <v>44750</v>
      </c>
      <c r="I137" vm="952">
        <f ca="1"/>
        <v>22.78</v>
      </c>
      <c r="J137" vm="953">
        <f ca="1"/>
        <v>45117</v>
      </c>
      <c r="K137" vm="954">
        <f ca="1"/>
        <v>21.56</v>
      </c>
    </row>
    <row r="138" spans="4:11" x14ac:dyDescent="0.3">
      <c r="D138" vm="955">
        <f ca="1"/>
        <v>44022</v>
      </c>
      <c r="E138" vm="364">
        <f ca="1"/>
        <v>40.880000000000003</v>
      </c>
      <c r="F138" vm="956">
        <f ca="1"/>
        <v>44390</v>
      </c>
      <c r="G138" vm="957">
        <f ca="1"/>
        <v>36.32</v>
      </c>
      <c r="H138" vm="958">
        <f ca="1"/>
        <v>44753</v>
      </c>
      <c r="I138" vm="959">
        <f ca="1"/>
        <v>22.4</v>
      </c>
      <c r="J138" vm="960">
        <f ca="1"/>
        <v>45118</v>
      </c>
      <c r="K138" vm="961">
        <f ca="1"/>
        <v>21.9</v>
      </c>
    </row>
    <row r="139" spans="4:11" x14ac:dyDescent="0.3">
      <c r="D139" vm="962">
        <f ca="1"/>
        <v>44025</v>
      </c>
      <c r="E139" vm="963">
        <f ca="1"/>
        <v>40.98</v>
      </c>
      <c r="F139" vm="964">
        <f ca="1"/>
        <v>44391</v>
      </c>
      <c r="G139" vm="965">
        <f ca="1"/>
        <v>36.31</v>
      </c>
      <c r="H139" vm="966">
        <f ca="1"/>
        <v>44754</v>
      </c>
      <c r="I139" vm="967">
        <f ca="1"/>
        <v>22.46</v>
      </c>
      <c r="J139" vm="968">
        <f ca="1"/>
        <v>45119</v>
      </c>
      <c r="K139" vm="916">
        <f ca="1"/>
        <v>22.32</v>
      </c>
    </row>
    <row r="140" spans="4:11" x14ac:dyDescent="0.3">
      <c r="D140" vm="969">
        <f ca="1"/>
        <v>44026</v>
      </c>
      <c r="E140" vm="970">
        <f ca="1"/>
        <v>40.56</v>
      </c>
      <c r="F140" vm="971">
        <f ca="1"/>
        <v>44392</v>
      </c>
      <c r="G140" vm="972">
        <f ca="1"/>
        <v>35.94</v>
      </c>
      <c r="H140" vm="973">
        <f ca="1"/>
        <v>44755</v>
      </c>
      <c r="I140" vm="974">
        <f ca="1"/>
        <v>22.44</v>
      </c>
      <c r="J140" vm="975">
        <f ca="1"/>
        <v>45120</v>
      </c>
      <c r="K140" vm="925">
        <f ca="1"/>
        <v>22.3</v>
      </c>
    </row>
    <row r="141" spans="4:11" x14ac:dyDescent="0.3">
      <c r="D141" vm="976">
        <f ca="1"/>
        <v>44027</v>
      </c>
      <c r="E141" vm="970">
        <f ca="1"/>
        <v>40.56</v>
      </c>
      <c r="F141" vm="977">
        <f ca="1"/>
        <v>44393</v>
      </c>
      <c r="G141" vm="978">
        <f ca="1"/>
        <v>36.049999999999997</v>
      </c>
      <c r="H141" vm="979">
        <f ca="1"/>
        <v>44756</v>
      </c>
      <c r="I141" vm="980">
        <f ca="1"/>
        <v>21.78</v>
      </c>
      <c r="J141" vm="981">
        <f ca="1"/>
        <v>45121</v>
      </c>
      <c r="K141" vm="982">
        <f ca="1"/>
        <v>22.06</v>
      </c>
    </row>
    <row r="142" spans="4:11" x14ac:dyDescent="0.3">
      <c r="D142" vm="983">
        <f ca="1"/>
        <v>44028</v>
      </c>
      <c r="E142" vm="364">
        <f ca="1"/>
        <v>40.880000000000003</v>
      </c>
      <c r="F142" vm="984">
        <f ca="1"/>
        <v>44396</v>
      </c>
      <c r="G142" vm="985">
        <f ca="1"/>
        <v>34.5</v>
      </c>
      <c r="H142" vm="986">
        <f ca="1"/>
        <v>44757</v>
      </c>
      <c r="I142" vm="987">
        <f ca="1"/>
        <v>22.19</v>
      </c>
      <c r="J142" vm="988">
        <f ca="1"/>
        <v>45124</v>
      </c>
      <c r="K142" vm="982">
        <f ca="1"/>
        <v>22.06</v>
      </c>
    </row>
    <row r="143" spans="4:11" x14ac:dyDescent="0.3">
      <c r="D143" vm="989">
        <f ca="1"/>
        <v>44029</v>
      </c>
      <c r="E143" vm="591">
        <f ca="1"/>
        <v>40</v>
      </c>
      <c r="F143" vm="990">
        <f ca="1"/>
        <v>44397</v>
      </c>
      <c r="G143" vm="991">
        <f ca="1"/>
        <v>33.61</v>
      </c>
      <c r="H143" vm="992">
        <f ca="1"/>
        <v>44760</v>
      </c>
      <c r="I143" vm="993">
        <f ca="1"/>
        <v>22.83</v>
      </c>
      <c r="J143" vm="994">
        <f ca="1"/>
        <v>45125</v>
      </c>
      <c r="K143" vm="910">
        <f ca="1"/>
        <v>22.24</v>
      </c>
    </row>
    <row r="144" spans="4:11" x14ac:dyDescent="0.3">
      <c r="D144" vm="995">
        <f ca="1"/>
        <v>44032</v>
      </c>
      <c r="E144" vm="72">
        <f ca="1"/>
        <v>40.1</v>
      </c>
      <c r="F144" vm="996">
        <f ca="1"/>
        <v>44398</v>
      </c>
      <c r="G144" vm="997">
        <f ca="1"/>
        <v>33.840000000000003</v>
      </c>
      <c r="H144" vm="998">
        <f ca="1"/>
        <v>44761</v>
      </c>
      <c r="I144" vm="999">
        <f ca="1"/>
        <v>23.27</v>
      </c>
      <c r="J144" vm="1000">
        <f ca="1"/>
        <v>45126</v>
      </c>
      <c r="K144" vm="1001">
        <f ca="1"/>
        <v>22.26</v>
      </c>
    </row>
    <row r="145" spans="4:11" x14ac:dyDescent="0.3">
      <c r="D145" vm="1002">
        <f ca="1"/>
        <v>44033</v>
      </c>
      <c r="E145" vm="1003">
        <f ca="1"/>
        <v>40.86</v>
      </c>
      <c r="F145" vm="1004">
        <f ca="1"/>
        <v>44399</v>
      </c>
      <c r="G145" vm="1005">
        <f ca="1"/>
        <v>33.49</v>
      </c>
      <c r="H145" vm="1006">
        <f ca="1"/>
        <v>44762</v>
      </c>
      <c r="I145" vm="1007">
        <f ca="1"/>
        <v>23.17</v>
      </c>
      <c r="J145" vm="1008">
        <f ca="1"/>
        <v>45127</v>
      </c>
      <c r="K145" vm="910">
        <f ca="1"/>
        <v>22.24</v>
      </c>
    </row>
    <row r="146" spans="4:11" x14ac:dyDescent="0.3">
      <c r="D146" vm="1009">
        <f ca="1"/>
        <v>44034</v>
      </c>
      <c r="E146" vm="616">
        <f ca="1"/>
        <v>40.96</v>
      </c>
      <c r="F146" vm="1010">
        <f ca="1"/>
        <v>44400</v>
      </c>
      <c r="G146" vm="1011">
        <f ca="1"/>
        <v>33.39</v>
      </c>
      <c r="H146" vm="1012">
        <f ca="1"/>
        <v>44763</v>
      </c>
      <c r="I146" vm="1013">
        <f ca="1"/>
        <v>22.61</v>
      </c>
      <c r="J146" vm="1014">
        <f ca="1"/>
        <v>45128</v>
      </c>
      <c r="K146" vm="1015">
        <f ca="1"/>
        <v>22.14</v>
      </c>
    </row>
    <row r="147" spans="4:11" x14ac:dyDescent="0.3">
      <c r="D147" vm="1016">
        <f ca="1"/>
        <v>44035</v>
      </c>
      <c r="E147" vm="29">
        <f ca="1"/>
        <v>40.659999999999997</v>
      </c>
      <c r="F147" vm="1017">
        <f ca="1"/>
        <v>44403</v>
      </c>
      <c r="G147" vm="1018">
        <f ca="1"/>
        <v>34.229999999999997</v>
      </c>
      <c r="H147" vm="1019">
        <f ca="1"/>
        <v>44764</v>
      </c>
      <c r="I147" vm="1020">
        <f ca="1"/>
        <v>22.73</v>
      </c>
      <c r="J147" vm="1021">
        <f ca="1"/>
        <v>45131</v>
      </c>
      <c r="K147" vm="959">
        <f ca="1"/>
        <v>22.4</v>
      </c>
    </row>
    <row r="148" spans="4:11" x14ac:dyDescent="0.3">
      <c r="D148" vm="1022">
        <f ca="1"/>
        <v>44036</v>
      </c>
      <c r="E148" vm="402">
        <f ca="1"/>
        <v>40.299999999999997</v>
      </c>
      <c r="F148" vm="1023">
        <f ca="1"/>
        <v>44404</v>
      </c>
      <c r="G148" vm="1024">
        <f ca="1"/>
        <v>34.22</v>
      </c>
      <c r="H148" vm="1025">
        <f ca="1"/>
        <v>44767</v>
      </c>
      <c r="I148" vm="1020">
        <f ca="1"/>
        <v>22.73</v>
      </c>
      <c r="J148" vm="1026">
        <f ca="1"/>
        <v>45132</v>
      </c>
      <c r="K148" vm="1027">
        <f ca="1"/>
        <v>22.52</v>
      </c>
    </row>
    <row r="149" spans="4:11" x14ac:dyDescent="0.3">
      <c r="D149" vm="1028">
        <f ca="1"/>
        <v>44039</v>
      </c>
      <c r="E149" vm="424">
        <f ca="1"/>
        <v>40.06</v>
      </c>
      <c r="F149" vm="1029">
        <f ca="1"/>
        <v>44405</v>
      </c>
      <c r="G149" vm="1030">
        <f ca="1"/>
        <v>33.869999999999997</v>
      </c>
      <c r="H149" vm="1031">
        <f ca="1"/>
        <v>44768</v>
      </c>
      <c r="I149" vm="1032">
        <f ca="1"/>
        <v>22.87</v>
      </c>
      <c r="J149" vm="1033">
        <f ca="1"/>
        <v>45133</v>
      </c>
      <c r="K149" vm="959">
        <f ca="1"/>
        <v>22.4</v>
      </c>
    </row>
    <row r="150" spans="4:11" x14ac:dyDescent="0.3">
      <c r="D150" vm="1034">
        <f ca="1"/>
        <v>44040</v>
      </c>
      <c r="E150" vm="37">
        <f ca="1"/>
        <v>40.5</v>
      </c>
      <c r="F150" vm="1035">
        <f ca="1"/>
        <v>44406</v>
      </c>
      <c r="G150" vm="1036">
        <f ca="1"/>
        <v>34</v>
      </c>
      <c r="H150" vm="1037">
        <f ca="1"/>
        <v>44769</v>
      </c>
      <c r="I150" vm="1038">
        <f ca="1"/>
        <v>23.21</v>
      </c>
      <c r="J150" vm="1039">
        <f ca="1"/>
        <v>45134</v>
      </c>
      <c r="K150" vm="873">
        <f ca="1"/>
        <v>22.54</v>
      </c>
    </row>
    <row r="151" spans="4:11" x14ac:dyDescent="0.3">
      <c r="D151" vm="1040">
        <f ca="1"/>
        <v>44041</v>
      </c>
      <c r="E151" vm="1041">
        <f ca="1"/>
        <v>40.32</v>
      </c>
      <c r="F151" vm="1042">
        <f ca="1"/>
        <v>44407</v>
      </c>
      <c r="G151" vm="1043">
        <f ca="1"/>
        <v>33.82</v>
      </c>
      <c r="H151" vm="1044">
        <f ca="1"/>
        <v>44770</v>
      </c>
      <c r="I151" vm="851">
        <f ca="1"/>
        <v>23.16</v>
      </c>
      <c r="J151" vm="1045">
        <f ca="1"/>
        <v>45135</v>
      </c>
      <c r="K151" vm="1027">
        <f ca="1"/>
        <v>22.52</v>
      </c>
    </row>
    <row r="152" spans="4:11" x14ac:dyDescent="0.3">
      <c r="D152" vm="1046">
        <f ca="1"/>
        <v>44042</v>
      </c>
      <c r="E152" vm="1047">
        <f ca="1"/>
        <v>39.6</v>
      </c>
      <c r="F152" vm="1048">
        <f ca="1"/>
        <v>44410</v>
      </c>
      <c r="G152" vm="1049">
        <f ca="1"/>
        <v>33.57</v>
      </c>
      <c r="H152" vm="1050">
        <f ca="1"/>
        <v>44771</v>
      </c>
      <c r="I152" vm="1051">
        <f ca="1"/>
        <v>23.79</v>
      </c>
      <c r="J152" vm="1052">
        <f ca="1"/>
        <v>45138</v>
      </c>
      <c r="K152" vm="1053">
        <f ca="1"/>
        <v>22.42</v>
      </c>
    </row>
    <row r="153" spans="4:11" x14ac:dyDescent="0.3">
      <c r="D153" vm="1054">
        <f ca="1"/>
        <v>44043</v>
      </c>
      <c r="E153" vm="524">
        <f ca="1"/>
        <v>39.96</v>
      </c>
      <c r="F153" vm="1055">
        <f ca="1"/>
        <v>44411</v>
      </c>
      <c r="G153" vm="991">
        <f ca="1"/>
        <v>33.61</v>
      </c>
      <c r="H153" vm="1056">
        <f ca="1"/>
        <v>44774</v>
      </c>
      <c r="I153" vm="1057">
        <f ca="1"/>
        <v>23.76</v>
      </c>
      <c r="J153" vm="1058">
        <f ca="1"/>
        <v>45139</v>
      </c>
      <c r="K153" vm="871">
        <f ca="1"/>
        <v>22.04</v>
      </c>
    </row>
    <row r="154" spans="4:11" x14ac:dyDescent="0.3">
      <c r="D154" vm="1059">
        <f ca="1"/>
        <v>44046</v>
      </c>
      <c r="E154" vm="1060">
        <f ca="1"/>
        <v>40.26</v>
      </c>
      <c r="F154" vm="1061">
        <f ca="1"/>
        <v>44412</v>
      </c>
      <c r="G154" vm="1062">
        <f ca="1"/>
        <v>33.159999999999997</v>
      </c>
      <c r="H154" vm="1063">
        <f ca="1"/>
        <v>44775</v>
      </c>
      <c r="I154" vm="1064">
        <f ca="1"/>
        <v>23.59</v>
      </c>
      <c r="J154" vm="1065">
        <f ca="1"/>
        <v>45140</v>
      </c>
      <c r="K154" vm="1066">
        <f ca="1"/>
        <v>21.5</v>
      </c>
    </row>
    <row r="155" spans="4:11" x14ac:dyDescent="0.3">
      <c r="D155" vm="1067">
        <f ca="1"/>
        <v>44047</v>
      </c>
      <c r="E155" vm="1068">
        <f ca="1"/>
        <v>40.14</v>
      </c>
      <c r="F155" vm="1069">
        <f ca="1"/>
        <v>44413</v>
      </c>
      <c r="G155" vm="1070">
        <f ca="1"/>
        <v>33.33</v>
      </c>
      <c r="H155" vm="1071">
        <f ca="1"/>
        <v>44776</v>
      </c>
      <c r="I155" vm="1072">
        <f ca="1"/>
        <v>23.48</v>
      </c>
      <c r="J155" vm="1073">
        <f ca="1"/>
        <v>45141</v>
      </c>
      <c r="K155" vm="1074">
        <f ca="1"/>
        <v>21.36</v>
      </c>
    </row>
    <row r="156" spans="4:11" x14ac:dyDescent="0.3">
      <c r="D156" vm="1075">
        <f ca="1"/>
        <v>44048</v>
      </c>
      <c r="E156" vm="579">
        <f ca="1"/>
        <v>40.340000000000003</v>
      </c>
      <c r="F156" vm="1076">
        <f ca="1"/>
        <v>44414</v>
      </c>
      <c r="G156" vm="1077">
        <f ca="1"/>
        <v>33.6</v>
      </c>
      <c r="H156" vm="1078">
        <f ca="1"/>
        <v>44777</v>
      </c>
      <c r="I156" vm="1079">
        <f ca="1"/>
        <v>23.3</v>
      </c>
      <c r="J156" vm="1080">
        <f ca="1"/>
        <v>45142</v>
      </c>
      <c r="K156" vm="1074">
        <f ca="1"/>
        <v>21.36</v>
      </c>
    </row>
    <row r="157" spans="4:11" x14ac:dyDescent="0.3">
      <c r="D157" vm="1081">
        <f ca="1"/>
        <v>44049</v>
      </c>
      <c r="E157" vm="1082">
        <f ca="1"/>
        <v>40.159999999999997</v>
      </c>
      <c r="F157" vm="1083">
        <f ca="1"/>
        <v>44417</v>
      </c>
      <c r="G157" vm="1084">
        <f ca="1"/>
        <v>33.69</v>
      </c>
      <c r="H157" vm="1085">
        <f ca="1"/>
        <v>44778</v>
      </c>
      <c r="I157" vm="1086">
        <f ca="1"/>
        <v>23.23</v>
      </c>
      <c r="J157" vm="1087">
        <f ca="1"/>
        <v>45145</v>
      </c>
      <c r="K157" vm="1088">
        <f ca="1"/>
        <v>21.3</v>
      </c>
    </row>
    <row r="158" spans="4:11" x14ac:dyDescent="0.3">
      <c r="D158" vm="1089">
        <f ca="1"/>
        <v>44050</v>
      </c>
      <c r="E158" vm="634">
        <f ca="1"/>
        <v>39.92</v>
      </c>
      <c r="F158" vm="1090">
        <f ca="1"/>
        <v>44418</v>
      </c>
      <c r="G158" vm="1091">
        <f ca="1"/>
        <v>33.78</v>
      </c>
      <c r="H158" vm="1092">
        <f ca="1"/>
        <v>44781</v>
      </c>
      <c r="I158" vm="1093">
        <f ca="1"/>
        <v>23.44</v>
      </c>
      <c r="J158" vm="1094">
        <f ca="1"/>
        <v>45146</v>
      </c>
      <c r="K158" vm="1095">
        <f ca="1"/>
        <v>21.24</v>
      </c>
    </row>
    <row r="159" spans="4:11" x14ac:dyDescent="0.3">
      <c r="D159" vm="1096">
        <f ca="1"/>
        <v>44053</v>
      </c>
      <c r="E159" vm="1097">
        <f ca="1"/>
        <v>40.020000000000003</v>
      </c>
      <c r="F159" vm="1098">
        <f ca="1"/>
        <v>44419</v>
      </c>
      <c r="G159" vm="1099">
        <f ca="1"/>
        <v>33.99</v>
      </c>
      <c r="H159" vm="1100">
        <f ca="1"/>
        <v>44782</v>
      </c>
      <c r="I159" vm="1101">
        <f ca="1"/>
        <v>23.24</v>
      </c>
      <c r="J159" vm="1102">
        <f ca="1"/>
        <v>45147</v>
      </c>
      <c r="K159" vm="1103">
        <f ca="1"/>
        <v>21.6</v>
      </c>
    </row>
    <row r="160" spans="4:11" x14ac:dyDescent="0.3">
      <c r="D160" vm="1104">
        <f ca="1"/>
        <v>44054</v>
      </c>
      <c r="E160" vm="1105">
        <f ca="1"/>
        <v>41.52</v>
      </c>
      <c r="F160" vm="1106">
        <f ca="1"/>
        <v>44420</v>
      </c>
      <c r="G160" vm="1107">
        <f ca="1"/>
        <v>33.450000000000003</v>
      </c>
      <c r="H160" vm="1108">
        <f ca="1"/>
        <v>44783</v>
      </c>
      <c r="I160" vm="459">
        <f ca="1"/>
        <v>23.71</v>
      </c>
      <c r="J160" vm="1109">
        <f ca="1"/>
        <v>45148</v>
      </c>
      <c r="K160" vm="1110">
        <f ca="1"/>
        <v>21.8</v>
      </c>
    </row>
    <row r="161" spans="4:11" x14ac:dyDescent="0.3">
      <c r="D161" vm="1111">
        <f ca="1"/>
        <v>44055</v>
      </c>
      <c r="E161" vm="1112">
        <f ca="1"/>
        <v>41.16</v>
      </c>
      <c r="F161" vm="1113">
        <f ca="1"/>
        <v>44421</v>
      </c>
      <c r="G161" vm="1114">
        <f ca="1"/>
        <v>33.590000000000003</v>
      </c>
      <c r="H161" vm="1115">
        <f ca="1"/>
        <v>44784</v>
      </c>
      <c r="I161" vm="1116">
        <f ca="1"/>
        <v>23.99</v>
      </c>
      <c r="J161" vm="1117">
        <f ca="1"/>
        <v>45149</v>
      </c>
      <c r="K161" vm="1118">
        <f ca="1"/>
        <v>21.88</v>
      </c>
    </row>
    <row r="162" spans="4:11" x14ac:dyDescent="0.3">
      <c r="D162" vm="1119">
        <f ca="1"/>
        <v>44056</v>
      </c>
      <c r="E162" vm="402">
        <f ca="1"/>
        <v>40.299999999999997</v>
      </c>
      <c r="F162" vm="1120">
        <f ca="1"/>
        <v>44424</v>
      </c>
      <c r="G162" vm="1121">
        <f ca="1"/>
        <v>33.4</v>
      </c>
      <c r="H162" vm="1122">
        <f ca="1"/>
        <v>44785</v>
      </c>
      <c r="I162" vm="1123">
        <f ca="1"/>
        <v>24.2</v>
      </c>
      <c r="J162" vm="1124">
        <f ca="1"/>
        <v>45152</v>
      </c>
      <c r="K162" vm="1125">
        <f ca="1"/>
        <v>21.82</v>
      </c>
    </row>
    <row r="163" spans="4:11" x14ac:dyDescent="0.3">
      <c r="D163" vm="1126">
        <f ca="1"/>
        <v>44057</v>
      </c>
      <c r="E163" vm="1127">
        <f ca="1"/>
        <v>39.76</v>
      </c>
      <c r="F163" vm="1128">
        <f ca="1"/>
        <v>44425</v>
      </c>
      <c r="G163" vm="1129">
        <f ca="1"/>
        <v>33</v>
      </c>
      <c r="H163" vm="1130">
        <f ca="1"/>
        <v>44788</v>
      </c>
      <c r="I163" vm="1057">
        <f ca="1"/>
        <v>23.76</v>
      </c>
      <c r="J163" vm="1131">
        <f ca="1"/>
        <v>45153</v>
      </c>
      <c r="K163" vm="1132">
        <f ca="1"/>
        <v>21.7</v>
      </c>
    </row>
    <row r="164" spans="4:11" x14ac:dyDescent="0.3">
      <c r="D164" vm="1133">
        <f ca="1"/>
        <v>44060</v>
      </c>
      <c r="E164" vm="471">
        <f ca="1"/>
        <v>40.4</v>
      </c>
      <c r="F164" vm="1134">
        <f ca="1"/>
        <v>44426</v>
      </c>
      <c r="G164" vm="1135">
        <f ca="1"/>
        <v>33.19</v>
      </c>
      <c r="H164" vm="1136">
        <f ca="1"/>
        <v>44789</v>
      </c>
      <c r="I164" vm="1137">
        <f ca="1"/>
        <v>24.55</v>
      </c>
      <c r="J164" vm="1138">
        <f ca="1"/>
        <v>45154</v>
      </c>
      <c r="K164" vm="1139">
        <f ca="1"/>
        <v>21.84</v>
      </c>
    </row>
    <row r="165" spans="4:11" x14ac:dyDescent="0.3">
      <c r="D165" vm="1140">
        <f ca="1"/>
        <v>44061</v>
      </c>
      <c r="E165" vm="1060">
        <f ca="1"/>
        <v>40.26</v>
      </c>
      <c r="F165" vm="1141">
        <f ca="1"/>
        <v>44427</v>
      </c>
      <c r="G165" vm="1142">
        <f ca="1"/>
        <v>32.64</v>
      </c>
      <c r="H165" vm="1143">
        <f ca="1"/>
        <v>44790</v>
      </c>
      <c r="I165" vm="1144">
        <f ca="1"/>
        <v>24.04</v>
      </c>
      <c r="J165" vm="1145">
        <f ca="1"/>
        <v>45155</v>
      </c>
      <c r="K165" vm="1132">
        <f ca="1"/>
        <v>21.7</v>
      </c>
    </row>
    <row r="166" spans="4:11" x14ac:dyDescent="0.3">
      <c r="D166" vm="1146">
        <f ca="1"/>
        <v>44062</v>
      </c>
      <c r="E166" vm="1147">
        <f ca="1"/>
        <v>39.94</v>
      </c>
      <c r="F166" vm="1148">
        <f ca="1"/>
        <v>44428</v>
      </c>
      <c r="G166" vm="1149">
        <f ca="1"/>
        <v>32.25</v>
      </c>
      <c r="H166" vm="1150">
        <f ca="1"/>
        <v>44791</v>
      </c>
      <c r="I166" vm="1151">
        <f ca="1"/>
        <v>23.96</v>
      </c>
      <c r="J166" vm="1152">
        <f ca="1"/>
        <v>45156</v>
      </c>
      <c r="K166" vm="1153">
        <f ca="1"/>
        <v>21.52</v>
      </c>
    </row>
    <row r="167" spans="4:11" x14ac:dyDescent="0.3">
      <c r="D167" vm="1154">
        <f ca="1"/>
        <v>44063</v>
      </c>
      <c r="E167" vm="605">
        <f ca="1"/>
        <v>39.42</v>
      </c>
      <c r="F167" vm="1155">
        <f ca="1"/>
        <v>44431</v>
      </c>
      <c r="G167" vm="1142">
        <f ca="1"/>
        <v>32.64</v>
      </c>
      <c r="H167" vm="1156">
        <f ca="1"/>
        <v>44792</v>
      </c>
      <c r="I167" vm="1157">
        <f ca="1"/>
        <v>23.8</v>
      </c>
      <c r="J167" vm="1158">
        <f ca="1"/>
        <v>45159</v>
      </c>
      <c r="K167" vm="947">
        <f ca="1"/>
        <v>21.66</v>
      </c>
    </row>
    <row r="168" spans="4:11" x14ac:dyDescent="0.3">
      <c r="D168" vm="1159">
        <f ca="1"/>
        <v>44064</v>
      </c>
      <c r="E168" vm="1160">
        <f ca="1"/>
        <v>39.520000000000003</v>
      </c>
      <c r="F168" vm="1161">
        <f ca="1"/>
        <v>44432</v>
      </c>
      <c r="G168" vm="1162">
        <f ca="1"/>
        <v>32.71</v>
      </c>
      <c r="H168" vm="1163">
        <f ca="1"/>
        <v>44795</v>
      </c>
      <c r="I168" vm="1164">
        <f ca="1"/>
        <v>23.6</v>
      </c>
      <c r="J168" vm="1165">
        <f ca="1"/>
        <v>45160</v>
      </c>
      <c r="K168" vm="1166">
        <f ca="1"/>
        <v>21.72</v>
      </c>
    </row>
    <row r="169" spans="4:11" x14ac:dyDescent="0.3">
      <c r="D169" vm="1167">
        <f ca="1"/>
        <v>44067</v>
      </c>
      <c r="E169" vm="1060">
        <f ca="1"/>
        <v>40.26</v>
      </c>
      <c r="F169" vm="1168">
        <f ca="1"/>
        <v>44433</v>
      </c>
      <c r="G169" vm="1169">
        <f ca="1"/>
        <v>32.86</v>
      </c>
      <c r="H169" vm="1170">
        <f ca="1"/>
        <v>44796</v>
      </c>
      <c r="I169" vm="1171">
        <f ca="1"/>
        <v>23.83</v>
      </c>
      <c r="J169" vm="1172">
        <f ca="1"/>
        <v>45161</v>
      </c>
      <c r="K169" vm="1173">
        <f ca="1"/>
        <v>21.76</v>
      </c>
    </row>
    <row r="170" spans="4:11" x14ac:dyDescent="0.3">
      <c r="D170" vm="1174">
        <f ca="1"/>
        <v>44068</v>
      </c>
      <c r="E170" vm="1097">
        <f ca="1"/>
        <v>40.020000000000003</v>
      </c>
      <c r="F170" vm="1175">
        <f ca="1"/>
        <v>44434</v>
      </c>
      <c r="G170" vm="1129">
        <f ca="1"/>
        <v>33</v>
      </c>
      <c r="H170" vm="1176">
        <f ca="1"/>
        <v>44797</v>
      </c>
      <c r="I170" vm="1164">
        <f ca="1"/>
        <v>23.6</v>
      </c>
      <c r="J170" vm="1177">
        <f ca="1"/>
        <v>45162</v>
      </c>
      <c r="K170" vm="931">
        <f ca="1"/>
        <v>21.74</v>
      </c>
    </row>
    <row r="171" spans="4:11" x14ac:dyDescent="0.3">
      <c r="D171" vm="1178">
        <f ca="1"/>
        <v>44069</v>
      </c>
      <c r="E171" vm="1179">
        <f ca="1"/>
        <v>39.380000000000003</v>
      </c>
      <c r="F171" vm="1180">
        <f ca="1"/>
        <v>44435</v>
      </c>
      <c r="G171" vm="1181">
        <f ca="1"/>
        <v>33.01</v>
      </c>
      <c r="H171" vm="1182">
        <f ca="1"/>
        <v>44798</v>
      </c>
      <c r="I171" vm="827">
        <f ca="1"/>
        <v>23.88</v>
      </c>
      <c r="J171" vm="1183">
        <f ca="1"/>
        <v>45163</v>
      </c>
      <c r="K171" vm="1184">
        <f ca="1"/>
        <v>21.94</v>
      </c>
    </row>
    <row r="172" spans="4:11" x14ac:dyDescent="0.3">
      <c r="D172" vm="1185">
        <f ca="1"/>
        <v>44070</v>
      </c>
      <c r="E172" vm="605">
        <f ca="1"/>
        <v>39.42</v>
      </c>
      <c r="F172" vm="1186">
        <f ca="1"/>
        <v>44438</v>
      </c>
      <c r="G172" vm="1187">
        <f ca="1"/>
        <v>32.799999999999997</v>
      </c>
      <c r="H172" vm="1188">
        <f ca="1"/>
        <v>44799</v>
      </c>
      <c r="I172" vm="459">
        <f ca="1"/>
        <v>23.71</v>
      </c>
      <c r="J172" vm="1189">
        <f ca="1"/>
        <v>45166</v>
      </c>
      <c r="K172" vm="1190">
        <f ca="1"/>
        <v>22.22</v>
      </c>
    </row>
    <row r="173" spans="4:11" x14ac:dyDescent="0.3">
      <c r="D173" vm="1191">
        <f ca="1"/>
        <v>44071</v>
      </c>
      <c r="E173" vm="1192">
        <f ca="1"/>
        <v>39.200000000000003</v>
      </c>
      <c r="F173" vm="1193">
        <f ca="1"/>
        <v>44439</v>
      </c>
      <c r="G173" vm="1194">
        <f ca="1"/>
        <v>32.81</v>
      </c>
      <c r="H173" vm="1195">
        <f ca="1"/>
        <v>44802</v>
      </c>
      <c r="I173" vm="1196">
        <f ca="1"/>
        <v>23.93</v>
      </c>
      <c r="J173" vm="1197">
        <f ca="1"/>
        <v>45167</v>
      </c>
      <c r="K173" vm="959">
        <f ca="1"/>
        <v>22.4</v>
      </c>
    </row>
    <row r="174" spans="4:11" x14ac:dyDescent="0.3">
      <c r="D174" vm="1198">
        <f ca="1"/>
        <v>44074</v>
      </c>
      <c r="E174" vm="1199">
        <f ca="1"/>
        <v>39.58</v>
      </c>
      <c r="F174" vm="1200">
        <f ca="1"/>
        <v>44440</v>
      </c>
      <c r="G174" vm="1201">
        <f ca="1"/>
        <v>33.270000000000003</v>
      </c>
      <c r="H174" vm="1202">
        <f ca="1"/>
        <v>44803</v>
      </c>
      <c r="I174" vm="1203">
        <f ca="1"/>
        <v>23.57</v>
      </c>
      <c r="J174" vm="1204">
        <f ca="1"/>
        <v>45168</v>
      </c>
      <c r="K174" vm="1205">
        <f ca="1"/>
        <v>22.34</v>
      </c>
    </row>
    <row r="175" spans="4:11" x14ac:dyDescent="0.3">
      <c r="D175" vm="1206">
        <f ca="1"/>
        <v>44075</v>
      </c>
      <c r="E175" vm="1207">
        <f ca="1"/>
        <v>38.44</v>
      </c>
      <c r="F175" vm="1208">
        <f ca="1"/>
        <v>44441</v>
      </c>
      <c r="G175" vm="1209">
        <f ca="1"/>
        <v>33.200000000000003</v>
      </c>
      <c r="H175" vm="1210">
        <f ca="1"/>
        <v>44804</v>
      </c>
      <c r="I175" vm="1203">
        <f ca="1"/>
        <v>23.57</v>
      </c>
      <c r="J175" vm="1211">
        <f ca="1"/>
        <v>45169</v>
      </c>
      <c r="K175" vm="1027">
        <f ca="1"/>
        <v>22.52</v>
      </c>
    </row>
    <row r="176" spans="4:11" x14ac:dyDescent="0.3">
      <c r="D176" vm="1212">
        <f ca="1"/>
        <v>44076</v>
      </c>
      <c r="E176" vm="224">
        <f ca="1"/>
        <v>38.299999999999997</v>
      </c>
      <c r="F176" vm="1213">
        <f ca="1"/>
        <v>44442</v>
      </c>
      <c r="G176" vm="1214">
        <f ca="1"/>
        <v>32.97</v>
      </c>
      <c r="H176" vm="1215">
        <f ca="1"/>
        <v>44805</v>
      </c>
      <c r="I176" vm="1064">
        <f ca="1"/>
        <v>23.59</v>
      </c>
      <c r="J176" vm="1216">
        <f ca="1"/>
        <v>45170</v>
      </c>
      <c r="K176" vm="1027">
        <f ca="1"/>
        <v>22.52</v>
      </c>
    </row>
    <row r="177" spans="4:11" x14ac:dyDescent="0.3">
      <c r="D177" vm="1217">
        <f ca="1"/>
        <v>44077</v>
      </c>
      <c r="E177" vm="1218">
        <f ca="1"/>
        <v>37.76</v>
      </c>
      <c r="F177" vm="1219">
        <f ca="1"/>
        <v>44445</v>
      </c>
      <c r="G177" vm="1129">
        <f ca="1"/>
        <v>33</v>
      </c>
      <c r="H177" vm="1220">
        <f ca="1"/>
        <v>44806</v>
      </c>
      <c r="I177" vm="1144">
        <f ca="1"/>
        <v>24.04</v>
      </c>
      <c r="J177" vm="1221">
        <f ca="1"/>
        <v>45173</v>
      </c>
      <c r="K177" vm="1103">
        <f ca="1"/>
        <v>21.6</v>
      </c>
    </row>
    <row r="178" spans="4:11" x14ac:dyDescent="0.3">
      <c r="D178" vm="1222">
        <f ca="1"/>
        <v>44078</v>
      </c>
      <c r="E178" vm="392">
        <f ca="1"/>
        <v>37.36</v>
      </c>
      <c r="F178" vm="1223">
        <f ca="1"/>
        <v>44446</v>
      </c>
      <c r="G178" vm="1224">
        <f ca="1"/>
        <v>32.950000000000003</v>
      </c>
      <c r="H178" vm="1225">
        <f ca="1"/>
        <v>44809</v>
      </c>
      <c r="I178" vm="1057">
        <f ca="1"/>
        <v>23.76</v>
      </c>
      <c r="J178" vm="1226">
        <f ca="1"/>
        <v>45174</v>
      </c>
      <c r="K178" vm="1227">
        <f ca="1"/>
        <v>21.58</v>
      </c>
    </row>
    <row r="179" spans="4:11" x14ac:dyDescent="0.3">
      <c r="D179" vm="1228">
        <f ca="1"/>
        <v>44081</v>
      </c>
      <c r="E179" vm="1229">
        <f ca="1"/>
        <v>38.32</v>
      </c>
      <c r="F179" vm="1230">
        <f ca="1"/>
        <v>44447</v>
      </c>
      <c r="G179" vm="1231">
        <f ca="1"/>
        <v>32.880000000000003</v>
      </c>
      <c r="H179" vm="1232">
        <f ca="1"/>
        <v>44810</v>
      </c>
      <c r="I179" vm="1233">
        <f ca="1"/>
        <v>23.45</v>
      </c>
      <c r="J179" vm="1234">
        <f ca="1"/>
        <v>45175</v>
      </c>
      <c r="K179" vm="1173">
        <f ca="1"/>
        <v>21.76</v>
      </c>
    </row>
    <row r="180" spans="4:11" x14ac:dyDescent="0.3">
      <c r="D180" vm="1235">
        <f ca="1"/>
        <v>44082</v>
      </c>
      <c r="E180" vm="1236">
        <f ca="1"/>
        <v>37.94</v>
      </c>
      <c r="F180" vm="1237">
        <f ca="1"/>
        <v>44448</v>
      </c>
      <c r="G180" vm="1238">
        <f ca="1"/>
        <v>32.07</v>
      </c>
      <c r="H180" vm="1239">
        <f ca="1"/>
        <v>44811</v>
      </c>
      <c r="I180" vm="1240">
        <f ca="1"/>
        <v>23.33</v>
      </c>
      <c r="J180" vm="1241">
        <f ca="1"/>
        <v>45176</v>
      </c>
      <c r="K180" vm="1173">
        <f ca="1"/>
        <v>21.76</v>
      </c>
    </row>
    <row r="181" spans="4:11" x14ac:dyDescent="0.3">
      <c r="D181" vm="1242">
        <f ca="1"/>
        <v>44083</v>
      </c>
      <c r="E181" vm="662">
        <f ca="1"/>
        <v>38.520000000000003</v>
      </c>
      <c r="F181" vm="1243">
        <f ca="1"/>
        <v>44449</v>
      </c>
      <c r="G181" vm="1244">
        <f ca="1"/>
        <v>29.52</v>
      </c>
      <c r="H181" vm="1245">
        <f ca="1"/>
        <v>44812</v>
      </c>
      <c r="I181" vm="1246">
        <f ca="1"/>
        <v>23.18</v>
      </c>
      <c r="J181" vm="1247">
        <f ca="1"/>
        <v>45177</v>
      </c>
      <c r="K181" vm="961">
        <f ca="1"/>
        <v>21.9</v>
      </c>
    </row>
    <row r="182" spans="4:11" x14ac:dyDescent="0.3">
      <c r="D182" vm="1248">
        <f ca="1"/>
        <v>44084</v>
      </c>
      <c r="E182" vm="231">
        <f ca="1"/>
        <v>38.24</v>
      </c>
      <c r="F182" vm="1249">
        <f ca="1"/>
        <v>44452</v>
      </c>
      <c r="G182" vm="1250">
        <f ca="1"/>
        <v>29.66</v>
      </c>
      <c r="H182" vm="1251">
        <f ca="1"/>
        <v>44813</v>
      </c>
      <c r="I182" vm="1252">
        <f ca="1"/>
        <v>24.9</v>
      </c>
      <c r="J182" vm="1253">
        <f ca="1"/>
        <v>45180</v>
      </c>
      <c r="K182" vm="1254">
        <f ca="1"/>
        <v>22.72</v>
      </c>
    </row>
    <row r="183" spans="4:11" x14ac:dyDescent="0.3">
      <c r="D183" vm="1255">
        <f ca="1"/>
        <v>44085</v>
      </c>
      <c r="E183" vm="267">
        <f ca="1"/>
        <v>38.200000000000003</v>
      </c>
      <c r="F183" vm="1256">
        <f ca="1"/>
        <v>44453</v>
      </c>
      <c r="G183" vm="1257">
        <f ca="1"/>
        <v>29.98</v>
      </c>
      <c r="H183" vm="1258">
        <f ca="1"/>
        <v>44816</v>
      </c>
      <c r="I183" vm="1259">
        <f ca="1"/>
        <v>25.1</v>
      </c>
      <c r="J183" vm="1260">
        <f ca="1"/>
        <v>45181</v>
      </c>
      <c r="K183" vm="1261">
        <f ca="1"/>
        <v>23.02</v>
      </c>
    </row>
    <row r="184" spans="4:11" x14ac:dyDescent="0.3">
      <c r="D184" vm="1262">
        <f ca="1"/>
        <v>44088</v>
      </c>
      <c r="E184" vm="1263">
        <f ca="1"/>
        <v>38.340000000000003</v>
      </c>
      <c r="F184" vm="1264">
        <f ca="1"/>
        <v>44454</v>
      </c>
      <c r="G184" vm="1265">
        <f ca="1"/>
        <v>30.1</v>
      </c>
      <c r="H184" vm="1266">
        <f ca="1"/>
        <v>44817</v>
      </c>
      <c r="I184" vm="1267">
        <f ca="1"/>
        <v>24.78</v>
      </c>
      <c r="J184" vm="1268">
        <f ca="1"/>
        <v>45182</v>
      </c>
      <c r="K184" vm="1269">
        <f ca="1"/>
        <v>22.86</v>
      </c>
    </row>
    <row r="185" spans="4:11" x14ac:dyDescent="0.3">
      <c r="D185" vm="1270">
        <f ca="1"/>
        <v>44089</v>
      </c>
      <c r="E185" vm="302">
        <f ca="1"/>
        <v>38.56</v>
      </c>
      <c r="F185" vm="1271">
        <f ca="1"/>
        <v>44455</v>
      </c>
      <c r="G185" vm="1272">
        <f ca="1"/>
        <v>29.95</v>
      </c>
      <c r="H185" vm="1273">
        <f ca="1"/>
        <v>44818</v>
      </c>
      <c r="I185" vm="1274">
        <f ca="1"/>
        <v>24.51</v>
      </c>
      <c r="J185" vm="1275">
        <f ca="1"/>
        <v>45183</v>
      </c>
      <c r="K185" vm="1254">
        <f ca="1"/>
        <v>22.72</v>
      </c>
    </row>
    <row r="186" spans="4:11" x14ac:dyDescent="0.3">
      <c r="D186" vm="1276">
        <f ca="1"/>
        <v>44090</v>
      </c>
      <c r="E186" vm="493">
        <f ca="1"/>
        <v>38.92</v>
      </c>
      <c r="F186" vm="1277">
        <f ca="1"/>
        <v>44456</v>
      </c>
      <c r="G186" vm="1278">
        <f ca="1"/>
        <v>29.86</v>
      </c>
      <c r="H186" vm="1279">
        <f ca="1"/>
        <v>44819</v>
      </c>
      <c r="I186" vm="1280">
        <f ca="1"/>
        <v>24.17</v>
      </c>
      <c r="J186" vm="1281">
        <f ca="1"/>
        <v>45184</v>
      </c>
      <c r="K186" vm="952">
        <f ca="1"/>
        <v>22.78</v>
      </c>
    </row>
    <row r="187" spans="4:11" x14ac:dyDescent="0.3">
      <c r="D187" vm="1282">
        <f ca="1"/>
        <v>44091</v>
      </c>
      <c r="E187" vm="274">
        <f ca="1"/>
        <v>38.700000000000003</v>
      </c>
      <c r="F187" vm="1283">
        <f ca="1"/>
        <v>44459</v>
      </c>
      <c r="G187" vm="1284">
        <f ca="1"/>
        <v>29.54</v>
      </c>
      <c r="H187" vm="1285">
        <f ca="1"/>
        <v>44820</v>
      </c>
      <c r="I187" vm="1286">
        <f ca="1"/>
        <v>23.36</v>
      </c>
      <c r="J187" vm="1287">
        <f ca="1"/>
        <v>45187</v>
      </c>
      <c r="K187" vm="1027">
        <f ca="1"/>
        <v>22.52</v>
      </c>
    </row>
    <row r="188" spans="4:11" x14ac:dyDescent="0.3">
      <c r="D188" vm="1288">
        <f ca="1"/>
        <v>44092</v>
      </c>
      <c r="E188" vm="1289">
        <f ca="1"/>
        <v>35.9</v>
      </c>
      <c r="F188" vm="1290">
        <f ca="1"/>
        <v>44460</v>
      </c>
      <c r="G188" vm="1291">
        <f ca="1"/>
        <v>29.19</v>
      </c>
      <c r="H188" vm="1292">
        <f ca="1"/>
        <v>44823</v>
      </c>
      <c r="I188" vm="1293">
        <f ca="1"/>
        <v>23.06</v>
      </c>
      <c r="J188" vm="1294">
        <f ca="1"/>
        <v>45188</v>
      </c>
      <c r="K188" vm="1295">
        <f ca="1"/>
        <v>22.76</v>
      </c>
    </row>
    <row r="189" spans="4:11" x14ac:dyDescent="0.3">
      <c r="D189" vm="1296">
        <f ca="1"/>
        <v>44095</v>
      </c>
      <c r="E189" vm="943">
        <f ca="1"/>
        <v>36.14</v>
      </c>
      <c r="F189" vm="1297">
        <f ca="1"/>
        <v>44461</v>
      </c>
      <c r="G189" vm="1298">
        <f ca="1"/>
        <v>29.51</v>
      </c>
      <c r="H189" vm="1299">
        <f ca="1"/>
        <v>44824</v>
      </c>
      <c r="I189" vm="1300">
        <f ca="1"/>
        <v>23.13</v>
      </c>
      <c r="J189" vm="1301">
        <f ca="1"/>
        <v>45189</v>
      </c>
      <c r="K189" vm="866">
        <f ca="1"/>
        <v>22.58</v>
      </c>
    </row>
    <row r="190" spans="4:11" x14ac:dyDescent="0.3">
      <c r="D190" vm="1302">
        <f ca="1"/>
        <v>44096</v>
      </c>
      <c r="E190" vm="378">
        <f ca="1"/>
        <v>35.700000000000003</v>
      </c>
      <c r="F190" vm="1303">
        <f ca="1"/>
        <v>44462</v>
      </c>
      <c r="G190" vm="1278">
        <f ca="1"/>
        <v>29.86</v>
      </c>
      <c r="H190" vm="1304">
        <f ca="1"/>
        <v>44825</v>
      </c>
      <c r="I190" vm="1079">
        <f ca="1"/>
        <v>23.3</v>
      </c>
      <c r="J190" vm="1305">
        <f ca="1"/>
        <v>45190</v>
      </c>
      <c r="K190" vm="895">
        <f ca="1"/>
        <v>22.36</v>
      </c>
    </row>
    <row r="191" spans="4:11" x14ac:dyDescent="0.3">
      <c r="D191" vm="1306">
        <f ca="1"/>
        <v>44097</v>
      </c>
      <c r="E191" vm="1307">
        <f ca="1"/>
        <v>35.4</v>
      </c>
      <c r="F191" vm="1308">
        <f ca="1"/>
        <v>44463</v>
      </c>
      <c r="G191" vm="226">
        <f ca="1"/>
        <v>29.94</v>
      </c>
      <c r="H191" vm="1309">
        <f ca="1"/>
        <v>44826</v>
      </c>
      <c r="I191" vm="1310">
        <f ca="1"/>
        <v>23.39</v>
      </c>
      <c r="J191" vm="1311">
        <f ca="1"/>
        <v>45191</v>
      </c>
      <c r="K191" vm="916">
        <f ca="1"/>
        <v>22.32</v>
      </c>
    </row>
    <row r="192" spans="4:11" x14ac:dyDescent="0.3">
      <c r="D192" vm="1312">
        <f ca="1"/>
        <v>44098</v>
      </c>
      <c r="E192" vm="1313">
        <f ca="1"/>
        <v>34.9</v>
      </c>
      <c r="F192" vm="1314">
        <f ca="1"/>
        <v>44466</v>
      </c>
      <c r="G192" vm="1315">
        <f ca="1"/>
        <v>29.72</v>
      </c>
      <c r="H192" vm="1316">
        <f ca="1"/>
        <v>44827</v>
      </c>
      <c r="I192" vm="1317">
        <f ca="1"/>
        <v>22.59</v>
      </c>
      <c r="J192" vm="1318">
        <f ca="1"/>
        <v>45194</v>
      </c>
      <c r="K192" vm="1139">
        <f ca="1"/>
        <v>21.84</v>
      </c>
    </row>
    <row r="193" spans="4:11" x14ac:dyDescent="0.3">
      <c r="D193" vm="1319">
        <f ca="1"/>
        <v>44099</v>
      </c>
      <c r="E193" vm="1320">
        <f ca="1"/>
        <v>34.36</v>
      </c>
      <c r="F193" vm="1321">
        <f ca="1"/>
        <v>44467</v>
      </c>
      <c r="G193" vm="1322">
        <f ca="1"/>
        <v>29.8</v>
      </c>
      <c r="H193" vm="1323">
        <f ca="1"/>
        <v>44830</v>
      </c>
      <c r="I193" vm="910">
        <f ca="1"/>
        <v>22.24</v>
      </c>
      <c r="J193" vm="1324">
        <f ca="1"/>
        <v>45195</v>
      </c>
      <c r="K193" vm="1325">
        <f ca="1"/>
        <v>21.38</v>
      </c>
    </row>
    <row r="194" spans="4:11" x14ac:dyDescent="0.3">
      <c r="D194" vm="1326">
        <f ca="1"/>
        <v>44102</v>
      </c>
      <c r="E194" vm="1327">
        <f ca="1"/>
        <v>35.54</v>
      </c>
      <c r="F194" vm="1328">
        <f ca="1"/>
        <v>44468</v>
      </c>
      <c r="G194" vm="1329">
        <f ca="1"/>
        <v>30</v>
      </c>
      <c r="H194" vm="1330">
        <f ca="1"/>
        <v>44831</v>
      </c>
      <c r="I194" vm="933">
        <f ca="1"/>
        <v>22.1</v>
      </c>
      <c r="J194" vm="1331">
        <f ca="1"/>
        <v>45196</v>
      </c>
      <c r="K194" vm="1325">
        <f ca="1"/>
        <v>21.38</v>
      </c>
    </row>
    <row r="195" spans="4:11" x14ac:dyDescent="0.3">
      <c r="D195" vm="1332">
        <f ca="1"/>
        <v>44103</v>
      </c>
      <c r="E195" vm="1333">
        <f ca="1"/>
        <v>34.44</v>
      </c>
      <c r="F195" vm="1334">
        <f ca="1"/>
        <v>44469</v>
      </c>
      <c r="G195" vm="1335">
        <f ca="1"/>
        <v>29.89</v>
      </c>
      <c r="H195" vm="1336">
        <f ca="1"/>
        <v>44832</v>
      </c>
      <c r="I195" vm="1337">
        <f ca="1"/>
        <v>22.17</v>
      </c>
      <c r="J195" vm="1338">
        <f ca="1"/>
        <v>45197</v>
      </c>
      <c r="K195" vm="1088">
        <f ca="1"/>
        <v>21.3</v>
      </c>
    </row>
    <row r="196" spans="4:11" x14ac:dyDescent="0.3">
      <c r="D196" vm="1339">
        <f ca="1"/>
        <v>44104</v>
      </c>
      <c r="E196" vm="1340">
        <f ca="1"/>
        <v>34.24</v>
      </c>
      <c r="F196" vm="1341">
        <f ca="1"/>
        <v>44470</v>
      </c>
      <c r="G196" vm="1342">
        <f ca="1"/>
        <v>29.92</v>
      </c>
      <c r="H196" vm="1343">
        <f ca="1"/>
        <v>44833</v>
      </c>
      <c r="I196" vm="1344">
        <f ca="1"/>
        <v>21.81</v>
      </c>
      <c r="J196" vm="1345">
        <f ca="1"/>
        <v>45198</v>
      </c>
      <c r="K196" vm="1095">
        <f ca="1"/>
        <v>21.24</v>
      </c>
    </row>
    <row r="197" spans="4:11" x14ac:dyDescent="0.3">
      <c r="D197" vm="1346">
        <f ca="1"/>
        <v>44105</v>
      </c>
      <c r="E197" vm="1347">
        <f ca="1"/>
        <v>31.98</v>
      </c>
      <c r="F197" vm="1348">
        <f ca="1"/>
        <v>44473</v>
      </c>
      <c r="G197" vm="1349">
        <f ca="1"/>
        <v>30.3</v>
      </c>
      <c r="H197" vm="1350">
        <f ca="1"/>
        <v>44834</v>
      </c>
      <c r="I197" vm="1351">
        <f ca="1"/>
        <v>21.39</v>
      </c>
      <c r="J197" vm="1352">
        <f ca="1"/>
        <v>45201</v>
      </c>
      <c r="K197" vm="1353">
        <f ca="1"/>
        <v>20.9</v>
      </c>
    </row>
    <row r="198" spans="4:11" x14ac:dyDescent="0.3">
      <c r="D198" vm="1354">
        <f ca="1"/>
        <v>44106</v>
      </c>
      <c r="E198" vm="1355">
        <f ca="1"/>
        <v>31.9</v>
      </c>
      <c r="F198" vm="1356">
        <f ca="1"/>
        <v>44474</v>
      </c>
      <c r="G198" vm="1278">
        <f ca="1"/>
        <v>29.86</v>
      </c>
      <c r="H198" vm="1357">
        <f ca="1"/>
        <v>44837</v>
      </c>
      <c r="I198" vm="1358">
        <f ca="1"/>
        <v>21.69</v>
      </c>
      <c r="J198" vm="1359">
        <f ca="1"/>
        <v>45202</v>
      </c>
      <c r="K198" vm="1360">
        <f ca="1"/>
        <v>20.72</v>
      </c>
    </row>
    <row r="199" spans="4:11" x14ac:dyDescent="0.3">
      <c r="D199" vm="1361">
        <f ca="1"/>
        <v>44109</v>
      </c>
      <c r="E199" vm="1362">
        <f ca="1"/>
        <v>32.020000000000003</v>
      </c>
      <c r="F199" vm="1363">
        <f ca="1"/>
        <v>44475</v>
      </c>
      <c r="G199" vm="1284">
        <f ca="1"/>
        <v>29.54</v>
      </c>
      <c r="H199" vm="1364">
        <f ca="1"/>
        <v>44838</v>
      </c>
      <c r="I199" vm="1365">
        <f ca="1"/>
        <v>21.97</v>
      </c>
      <c r="J199" vm="1366">
        <f ca="1"/>
        <v>45203</v>
      </c>
      <c r="K199" vm="1367">
        <f ca="1"/>
        <v>20.8</v>
      </c>
    </row>
    <row r="200" spans="4:11" x14ac:dyDescent="0.3">
      <c r="D200" vm="1368">
        <f ca="1"/>
        <v>44110</v>
      </c>
      <c r="E200" vm="1347">
        <f ca="1"/>
        <v>31.98</v>
      </c>
      <c r="F200" vm="1369">
        <f ca="1"/>
        <v>44476</v>
      </c>
      <c r="G200" vm="1244">
        <f ca="1"/>
        <v>29.52</v>
      </c>
      <c r="H200" vm="1370">
        <f ca="1"/>
        <v>44839</v>
      </c>
      <c r="I200" vm="1371">
        <f ca="1"/>
        <v>21.64</v>
      </c>
      <c r="J200" vm="1372">
        <f ca="1"/>
        <v>45204</v>
      </c>
      <c r="K200" vm="1353">
        <f ca="1"/>
        <v>20.9</v>
      </c>
    </row>
    <row r="201" spans="4:11" x14ac:dyDescent="0.3">
      <c r="D201" vm="1373">
        <f ca="1"/>
        <v>44111</v>
      </c>
      <c r="E201" vm="1349">
        <f ca="1"/>
        <v>30.3</v>
      </c>
      <c r="F201" vm="1374">
        <f ca="1"/>
        <v>44477</v>
      </c>
      <c r="G201" vm="255">
        <f ca="1"/>
        <v>29.74</v>
      </c>
      <c r="H201" vm="1375">
        <f ca="1"/>
        <v>44840</v>
      </c>
      <c r="I201" vm="1132">
        <f ca="1"/>
        <v>21.7</v>
      </c>
      <c r="J201" vm="1376">
        <f ca="1"/>
        <v>45205</v>
      </c>
      <c r="K201" vm="1377">
        <f ca="1"/>
        <v>21.08</v>
      </c>
    </row>
    <row r="202" spans="4:11" x14ac:dyDescent="0.3">
      <c r="D202" vm="1378">
        <f ca="1"/>
        <v>44112</v>
      </c>
      <c r="E202" vm="1379">
        <f ca="1"/>
        <v>30.44</v>
      </c>
      <c r="F202" vm="1380">
        <f ca="1"/>
        <v>44480</v>
      </c>
      <c r="G202" vm="1381">
        <f ca="1"/>
        <v>29.61</v>
      </c>
      <c r="H202" vm="1382">
        <f ca="1"/>
        <v>44841</v>
      </c>
      <c r="I202" vm="1383">
        <f ca="1"/>
        <v>21.55</v>
      </c>
      <c r="J202" vm="1384">
        <f ca="1"/>
        <v>45208</v>
      </c>
      <c r="K202" vm="1095">
        <f ca="1"/>
        <v>21.24</v>
      </c>
    </row>
    <row r="203" spans="4:11" x14ac:dyDescent="0.3">
      <c r="D203" vm="1385">
        <f ca="1"/>
        <v>44113</v>
      </c>
      <c r="E203" vm="1386">
        <f ca="1"/>
        <v>30.48</v>
      </c>
      <c r="F203" vm="1387">
        <f ca="1"/>
        <v>44481</v>
      </c>
      <c r="G203" vm="1388">
        <f ca="1"/>
        <v>29.29</v>
      </c>
      <c r="H203" vm="1389">
        <f ca="1"/>
        <v>44844</v>
      </c>
      <c r="I203" vm="1390">
        <f ca="1"/>
        <v>21.42</v>
      </c>
      <c r="J203" vm="1391">
        <f ca="1"/>
        <v>45209</v>
      </c>
      <c r="K203" vm="1392">
        <f ca="1"/>
        <v>21.44</v>
      </c>
    </row>
    <row r="204" spans="4:11" x14ac:dyDescent="0.3">
      <c r="D204" vm="1393">
        <f ca="1"/>
        <v>44116</v>
      </c>
      <c r="E204" vm="1394">
        <f ca="1"/>
        <v>30.76</v>
      </c>
      <c r="F204" vm="1395">
        <f ca="1"/>
        <v>44482</v>
      </c>
      <c r="G204" vm="1396">
        <f ca="1"/>
        <v>28.85</v>
      </c>
      <c r="H204" vm="1397">
        <f ca="1"/>
        <v>44845</v>
      </c>
      <c r="I204" vm="1398">
        <f ca="1"/>
        <v>21.25</v>
      </c>
      <c r="J204" vm="1399">
        <f ca="1"/>
        <v>45210</v>
      </c>
      <c r="K204" vm="1400">
        <f ca="1"/>
        <v>21.2</v>
      </c>
    </row>
    <row r="205" spans="4:11" x14ac:dyDescent="0.3">
      <c r="D205" vm="1401">
        <f ca="1"/>
        <v>44117</v>
      </c>
      <c r="E205" vm="1402">
        <f ca="1"/>
        <v>30.54</v>
      </c>
      <c r="F205" vm="1403">
        <f ca="1"/>
        <v>44483</v>
      </c>
      <c r="G205" vm="233">
        <f ca="1"/>
        <v>29.36</v>
      </c>
      <c r="H205" vm="1404">
        <f ca="1"/>
        <v>44846</v>
      </c>
      <c r="I205" vm="1405">
        <f ca="1"/>
        <v>20.89</v>
      </c>
      <c r="J205" vm="1406">
        <f ca="1"/>
        <v>45211</v>
      </c>
      <c r="K205" vm="1407">
        <f ca="1"/>
        <v>21.26</v>
      </c>
    </row>
    <row r="206" spans="4:11" x14ac:dyDescent="0.3">
      <c r="D206" vm="1408">
        <f ca="1"/>
        <v>44118</v>
      </c>
      <c r="E206" vm="1409">
        <f ca="1"/>
        <v>30.26</v>
      </c>
      <c r="F206" vm="1410">
        <f ca="1"/>
        <v>44484</v>
      </c>
      <c r="G206" vm="127">
        <f ca="1"/>
        <v>29.06</v>
      </c>
      <c r="H206" vm="1411">
        <f ca="1"/>
        <v>44847</v>
      </c>
      <c r="I206" vm="1412">
        <f ca="1"/>
        <v>21.32</v>
      </c>
      <c r="J206" vm="1413">
        <f ca="1"/>
        <v>45212</v>
      </c>
      <c r="K206" vm="1414">
        <f ca="1"/>
        <v>21.18</v>
      </c>
    </row>
    <row r="207" spans="4:11" x14ac:dyDescent="0.3">
      <c r="D207" vm="1415">
        <f ca="1"/>
        <v>44119</v>
      </c>
      <c r="E207" vm="1416">
        <f ca="1"/>
        <v>29.58</v>
      </c>
      <c r="F207" vm="1417">
        <f ca="1"/>
        <v>44487</v>
      </c>
      <c r="G207" vm="151">
        <f ca="1"/>
        <v>28.78</v>
      </c>
      <c r="H207" vm="1418">
        <f ca="1"/>
        <v>44848</v>
      </c>
      <c r="I207" vm="1419">
        <f ca="1"/>
        <v>21.23</v>
      </c>
      <c r="J207" vm="1420">
        <f ca="1"/>
        <v>45215</v>
      </c>
      <c r="K207" vm="1066">
        <f ca="1"/>
        <v>21.5</v>
      </c>
    </row>
    <row r="208" spans="4:11" x14ac:dyDescent="0.3">
      <c r="D208" vm="1421">
        <f ca="1"/>
        <v>44120</v>
      </c>
      <c r="E208" vm="1422">
        <f ca="1"/>
        <v>30.56</v>
      </c>
      <c r="F208" vm="1423">
        <f ca="1"/>
        <v>44488</v>
      </c>
      <c r="G208" vm="1424">
        <f ca="1"/>
        <v>28.97</v>
      </c>
      <c r="H208" vm="1425">
        <f ca="1"/>
        <v>44851</v>
      </c>
      <c r="I208" vm="1125">
        <f ca="1"/>
        <v>21.82</v>
      </c>
      <c r="J208" vm="1426">
        <f ca="1"/>
        <v>45216</v>
      </c>
      <c r="K208" vm="1066">
        <f ca="1"/>
        <v>21.5</v>
      </c>
    </row>
    <row r="209" spans="4:11" x14ac:dyDescent="0.3">
      <c r="D209" vm="1427">
        <f ca="1"/>
        <v>44123</v>
      </c>
      <c r="E209" vm="1428">
        <f ca="1"/>
        <v>30.94</v>
      </c>
      <c r="F209" vm="1429">
        <f ca="1"/>
        <v>44489</v>
      </c>
      <c r="G209" vm="1430">
        <f ca="1"/>
        <v>29.09</v>
      </c>
      <c r="H209" vm="1431">
        <f ca="1"/>
        <v>44852</v>
      </c>
      <c r="I209" vm="1103">
        <f ca="1"/>
        <v>21.6</v>
      </c>
      <c r="J209" vm="1432">
        <f ca="1"/>
        <v>45217</v>
      </c>
      <c r="K209" vm="1390">
        <f ca="1"/>
        <v>21.42</v>
      </c>
    </row>
    <row r="210" spans="4:11" x14ac:dyDescent="0.3">
      <c r="D210" vm="1433">
        <f ca="1"/>
        <v>44124</v>
      </c>
      <c r="E210" vm="1434">
        <f ca="1"/>
        <v>30.4</v>
      </c>
      <c r="F210" vm="1435">
        <f ca="1"/>
        <v>44490</v>
      </c>
      <c r="G210" vm="1396">
        <f ca="1"/>
        <v>28.85</v>
      </c>
      <c r="H210" vm="1436">
        <f ca="1"/>
        <v>44853</v>
      </c>
      <c r="I210" vm="1184">
        <f ca="1"/>
        <v>21.94</v>
      </c>
      <c r="J210" vm="1437">
        <f ca="1"/>
        <v>45218</v>
      </c>
      <c r="K210" vm="1438">
        <f ca="1"/>
        <v>21.16</v>
      </c>
    </row>
    <row r="211" spans="4:11" x14ac:dyDescent="0.3">
      <c r="D211" vm="1439">
        <f ca="1"/>
        <v>44125</v>
      </c>
      <c r="E211" vm="1440">
        <f ca="1"/>
        <v>29.84</v>
      </c>
      <c r="F211" vm="1441">
        <f ca="1"/>
        <v>44491</v>
      </c>
      <c r="G211" vm="1442">
        <f ca="1"/>
        <v>28.35</v>
      </c>
      <c r="H211" vm="1443">
        <f ca="1"/>
        <v>44854</v>
      </c>
      <c r="I211" vm="1444">
        <f ca="1"/>
        <v>22.13</v>
      </c>
      <c r="J211" vm="1445">
        <f ca="1"/>
        <v>45219</v>
      </c>
      <c r="K211" vm="1446">
        <f ca="1"/>
        <v>20.46</v>
      </c>
    </row>
    <row r="212" spans="4:11" x14ac:dyDescent="0.3">
      <c r="D212" vm="1447">
        <f ca="1"/>
        <v>44126</v>
      </c>
      <c r="E212" vm="1448">
        <f ca="1"/>
        <v>29.96</v>
      </c>
      <c r="F212" vm="1449">
        <f ca="1"/>
        <v>44494</v>
      </c>
      <c r="G212" vm="1450">
        <f ca="1"/>
        <v>28.13</v>
      </c>
      <c r="H212" vm="1451">
        <f ca="1"/>
        <v>44855</v>
      </c>
      <c r="I212" vm="961">
        <f ca="1"/>
        <v>21.9</v>
      </c>
      <c r="J212" vm="1452">
        <f ca="1"/>
        <v>45222</v>
      </c>
      <c r="K212" vm="1453">
        <f ca="1"/>
        <v>19.93</v>
      </c>
    </row>
    <row r="213" spans="4:11" x14ac:dyDescent="0.3">
      <c r="D213" vm="1454">
        <f ca="1"/>
        <v>44127</v>
      </c>
      <c r="E213" vm="1455">
        <f ca="1"/>
        <v>30.6</v>
      </c>
      <c r="F213" vm="1456">
        <f ca="1"/>
        <v>44495</v>
      </c>
      <c r="G213" vm="1457">
        <f ca="1"/>
        <v>28.18</v>
      </c>
      <c r="H213" vm="1458">
        <f ca="1"/>
        <v>44858</v>
      </c>
      <c r="I213" vm="1459">
        <f ca="1"/>
        <v>21.98</v>
      </c>
      <c r="J213" vm="1460">
        <f ca="1"/>
        <v>45223</v>
      </c>
      <c r="K213" vm="1461">
        <f ca="1"/>
        <v>20.04</v>
      </c>
    </row>
    <row r="214" spans="4:11" x14ac:dyDescent="0.3">
      <c r="D214" vm="1462">
        <f ca="1"/>
        <v>44130</v>
      </c>
      <c r="E214" vm="1463">
        <f ca="1"/>
        <v>29.7</v>
      </c>
      <c r="F214" vm="1464">
        <f ca="1"/>
        <v>44496</v>
      </c>
      <c r="G214" vm="1465">
        <f ca="1"/>
        <v>28.15</v>
      </c>
      <c r="H214" vm="1466">
        <f ca="1"/>
        <v>44859</v>
      </c>
      <c r="I214" vm="1015">
        <f ca="1"/>
        <v>22.14</v>
      </c>
      <c r="J214" vm="1467">
        <f ca="1"/>
        <v>45224</v>
      </c>
      <c r="K214" vm="1468">
        <f ca="1"/>
        <v>19.88</v>
      </c>
    </row>
    <row r="215" spans="4:11" x14ac:dyDescent="0.3">
      <c r="D215" vm="1469">
        <f ca="1"/>
        <v>44131</v>
      </c>
      <c r="E215" vm="1470">
        <f ca="1"/>
        <v>29</v>
      </c>
      <c r="F215" vm="1471">
        <f ca="1"/>
        <v>44497</v>
      </c>
      <c r="G215" vm="23">
        <f ca="1"/>
        <v>27.92</v>
      </c>
      <c r="H215" vm="1472">
        <f ca="1"/>
        <v>44860</v>
      </c>
      <c r="I215" vm="895">
        <f ca="1"/>
        <v>22.36</v>
      </c>
      <c r="J215" vm="1473">
        <f ca="1"/>
        <v>45225</v>
      </c>
      <c r="K215" vm="1474">
        <f ca="1"/>
        <v>20.02</v>
      </c>
    </row>
    <row r="216" spans="4:11" x14ac:dyDescent="0.3">
      <c r="D216" vm="1475">
        <f ca="1"/>
        <v>44132</v>
      </c>
      <c r="E216" vm="418">
        <f ca="1"/>
        <v>27.78</v>
      </c>
      <c r="F216" vm="1476">
        <f ca="1"/>
        <v>44498</v>
      </c>
      <c r="G216" vm="1477">
        <f ca="1"/>
        <v>27.69</v>
      </c>
      <c r="H216" vm="1478">
        <f ca="1"/>
        <v>44861</v>
      </c>
      <c r="I216" vm="1479">
        <f ca="1"/>
        <v>22.6</v>
      </c>
      <c r="J216" vm="1480">
        <f ca="1"/>
        <v>45226</v>
      </c>
      <c r="K216" vm="1481">
        <f ca="1"/>
        <v>19.84</v>
      </c>
    </row>
    <row r="217" spans="4:11" x14ac:dyDescent="0.3">
      <c r="D217" vm="1482">
        <f ca="1"/>
        <v>44133</v>
      </c>
      <c r="E217" vm="1483">
        <f ca="1"/>
        <v>28.3</v>
      </c>
      <c r="F217" vm="1484">
        <f ca="1"/>
        <v>44501</v>
      </c>
      <c r="G217" vm="1485">
        <f ca="1"/>
        <v>27.91</v>
      </c>
      <c r="H217" vm="1486">
        <f ca="1"/>
        <v>44862</v>
      </c>
      <c r="I217" vm="1487">
        <f ca="1"/>
        <v>22.63</v>
      </c>
      <c r="J217" vm="1488">
        <f ca="1"/>
        <v>45229</v>
      </c>
      <c r="K217" vm="1489">
        <f ca="1"/>
        <v>20.36</v>
      </c>
    </row>
    <row r="218" spans="4:11" x14ac:dyDescent="0.3">
      <c r="D218" vm="1490">
        <f ca="1"/>
        <v>44134</v>
      </c>
      <c r="E218" vm="1457">
        <f ca="1"/>
        <v>28.18</v>
      </c>
      <c r="F218" vm="1491">
        <f ca="1"/>
        <v>44502</v>
      </c>
      <c r="G218" vm="1492">
        <f ca="1"/>
        <v>27.79</v>
      </c>
      <c r="H218" vm="1493">
        <f ca="1"/>
        <v>44865</v>
      </c>
      <c r="I218" vm="1494">
        <f ca="1"/>
        <v>23</v>
      </c>
      <c r="J218" vm="1495">
        <f ca="1"/>
        <v>45230</v>
      </c>
      <c r="K218" vm="1496">
        <f ca="1"/>
        <v>20.54</v>
      </c>
    </row>
    <row r="219" spans="4:11" x14ac:dyDescent="0.3">
      <c r="D219" vm="1497">
        <f ca="1"/>
        <v>44137</v>
      </c>
      <c r="E219" vm="269">
        <f ca="1"/>
        <v>28.96</v>
      </c>
      <c r="F219" vm="1498">
        <f ca="1"/>
        <v>44503</v>
      </c>
      <c r="G219" vm="1499">
        <f ca="1"/>
        <v>27.56</v>
      </c>
      <c r="H219" vm="1500">
        <f ca="1"/>
        <v>44866</v>
      </c>
      <c r="I219" vm="864">
        <f ca="1"/>
        <v>23.1</v>
      </c>
      <c r="J219" vm="1501">
        <f ca="1"/>
        <v>45231</v>
      </c>
      <c r="K219" vm="1502">
        <f ca="1"/>
        <v>20.68</v>
      </c>
    </row>
    <row r="220" spans="4:11" x14ac:dyDescent="0.3">
      <c r="D220" vm="1503">
        <f ca="1"/>
        <v>44138</v>
      </c>
      <c r="E220" vm="96">
        <f ca="1"/>
        <v>28.92</v>
      </c>
      <c r="F220" vm="1504">
        <f ca="1"/>
        <v>44504</v>
      </c>
      <c r="G220" vm="1505">
        <f ca="1"/>
        <v>27.8</v>
      </c>
      <c r="H220" vm="1506">
        <f ca="1"/>
        <v>44867</v>
      </c>
      <c r="I220" vm="1032">
        <f ca="1"/>
        <v>22.87</v>
      </c>
      <c r="J220" vm="1507">
        <f ca="1"/>
        <v>45232</v>
      </c>
      <c r="K220" vm="1508">
        <f ca="1"/>
        <v>21.12</v>
      </c>
    </row>
    <row r="221" spans="4:11" x14ac:dyDescent="0.3">
      <c r="D221" vm="1509">
        <f ca="1"/>
        <v>44139</v>
      </c>
      <c r="E221" vm="1510">
        <f ca="1"/>
        <v>29.9</v>
      </c>
      <c r="F221" vm="1511">
        <f ca="1"/>
        <v>44505</v>
      </c>
      <c r="G221" vm="1512">
        <f ca="1"/>
        <v>28.57</v>
      </c>
      <c r="H221" vm="1513">
        <f ca="1"/>
        <v>44868</v>
      </c>
      <c r="I221" vm="849">
        <f ca="1"/>
        <v>22.81</v>
      </c>
      <c r="J221" vm="1514">
        <f ca="1"/>
        <v>45233</v>
      </c>
      <c r="K221" vm="1515">
        <f ca="1"/>
        <v>21.34</v>
      </c>
    </row>
    <row r="222" spans="4:11" x14ac:dyDescent="0.3">
      <c r="D222" vm="1516">
        <f ca="1"/>
        <v>44140</v>
      </c>
      <c r="E222" vm="1517">
        <f ca="1"/>
        <v>29.44</v>
      </c>
      <c r="F222" vm="1518">
        <f ca="1"/>
        <v>44508</v>
      </c>
      <c r="G222" vm="1519">
        <f ca="1"/>
        <v>28.37</v>
      </c>
      <c r="H222" vm="1520">
        <f ca="1"/>
        <v>44869</v>
      </c>
      <c r="I222" vm="1521">
        <f ca="1"/>
        <v>23.46</v>
      </c>
      <c r="J222" vm="1522">
        <f ca="1"/>
        <v>45236</v>
      </c>
      <c r="K222" vm="1523">
        <f ca="1"/>
        <v>20.96</v>
      </c>
    </row>
    <row r="223" spans="4:11" x14ac:dyDescent="0.3">
      <c r="D223" vm="1524">
        <f ca="1"/>
        <v>44141</v>
      </c>
      <c r="E223" vm="1525">
        <f ca="1"/>
        <v>31.02</v>
      </c>
      <c r="F223" vm="1526">
        <f ca="1"/>
        <v>44509</v>
      </c>
      <c r="G223" vm="751">
        <f ca="1"/>
        <v>28.2</v>
      </c>
      <c r="H223" vm="1527">
        <f ca="1"/>
        <v>44872</v>
      </c>
      <c r="I223" vm="1528">
        <f ca="1"/>
        <v>23.58</v>
      </c>
      <c r="J223" vm="1529">
        <f ca="1"/>
        <v>45237</v>
      </c>
      <c r="K223" vm="1530">
        <f ca="1"/>
        <v>20.64</v>
      </c>
    </row>
    <row r="224" spans="4:11" x14ac:dyDescent="0.3">
      <c r="D224" vm="1531">
        <f ca="1"/>
        <v>44144</v>
      </c>
      <c r="E224" vm="1532">
        <f ca="1"/>
        <v>32</v>
      </c>
      <c r="F224" vm="1533">
        <f ca="1"/>
        <v>44510</v>
      </c>
      <c r="G224" vm="1534">
        <f ca="1"/>
        <v>28.7</v>
      </c>
      <c r="H224" vm="1535">
        <f ca="1"/>
        <v>44873</v>
      </c>
      <c r="I224" vm="1536">
        <f ca="1"/>
        <v>23.4</v>
      </c>
      <c r="J224" vm="1537">
        <f ca="1"/>
        <v>45238</v>
      </c>
      <c r="K224" vm="1400">
        <f ca="1"/>
        <v>21.2</v>
      </c>
    </row>
    <row r="225" spans="4:11" x14ac:dyDescent="0.3">
      <c r="D225" vm="1538">
        <f ca="1"/>
        <v>44145</v>
      </c>
      <c r="E225" vm="1539">
        <f ca="1"/>
        <v>34.4</v>
      </c>
      <c r="F225" vm="1540">
        <f ca="1"/>
        <v>44511</v>
      </c>
      <c r="G225" vm="1541">
        <f ca="1"/>
        <v>28.08</v>
      </c>
      <c r="H225" vm="1542">
        <f ca="1"/>
        <v>44874</v>
      </c>
      <c r="I225" vm="1543">
        <f ca="1"/>
        <v>23.05</v>
      </c>
      <c r="J225" vm="1544">
        <f ca="1"/>
        <v>45239</v>
      </c>
      <c r="K225" vm="1545">
        <f ca="1"/>
        <v>21.62</v>
      </c>
    </row>
    <row r="226" spans="4:11" x14ac:dyDescent="0.3">
      <c r="D226" vm="1546">
        <f ca="1"/>
        <v>44146</v>
      </c>
      <c r="E226" vm="1547">
        <f ca="1"/>
        <v>32.479999999999997</v>
      </c>
      <c r="F226" vm="1548">
        <f ca="1"/>
        <v>44512</v>
      </c>
      <c r="G226" vm="1549">
        <f ca="1"/>
        <v>27.95</v>
      </c>
      <c r="H226" vm="1550">
        <f ca="1"/>
        <v>44875</v>
      </c>
      <c r="I226" vm="1171">
        <f ca="1"/>
        <v>23.83</v>
      </c>
      <c r="J226" vm="1551">
        <f ca="1"/>
        <v>45240</v>
      </c>
      <c r="K226" vm="1066">
        <f ca="1"/>
        <v>21.5</v>
      </c>
    </row>
    <row r="227" spans="4:11" x14ac:dyDescent="0.3">
      <c r="D227" vm="1552">
        <f ca="1"/>
        <v>44147</v>
      </c>
      <c r="E227" vm="1553">
        <f ca="1"/>
        <v>32.92</v>
      </c>
      <c r="F227" vm="1554">
        <f ca="1"/>
        <v>44515</v>
      </c>
      <c r="G227" vm="319">
        <f ca="1"/>
        <v>28.01</v>
      </c>
      <c r="H227" vm="1555">
        <f ca="1"/>
        <v>44876</v>
      </c>
      <c r="I227" vm="1556">
        <f ca="1"/>
        <v>24.06</v>
      </c>
      <c r="J227" vm="1557">
        <f ca="1"/>
        <v>45243</v>
      </c>
      <c r="K227" vm="1125">
        <f ca="1"/>
        <v>21.82</v>
      </c>
    </row>
    <row r="228" spans="4:11" x14ac:dyDescent="0.3">
      <c r="D228" vm="1558">
        <f ca="1"/>
        <v>44148</v>
      </c>
      <c r="E228" vm="1559">
        <f ca="1"/>
        <v>33.18</v>
      </c>
      <c r="F228" vm="1560">
        <f ca="1"/>
        <v>44516</v>
      </c>
      <c r="G228" vm="1561">
        <f ca="1"/>
        <v>27.77</v>
      </c>
      <c r="H228" vm="1562">
        <f ca="1"/>
        <v>44879</v>
      </c>
      <c r="I228" vm="1280">
        <f ca="1"/>
        <v>24.17</v>
      </c>
      <c r="J228" vm="1563">
        <f ca="1"/>
        <v>45244</v>
      </c>
      <c r="K228" vm="1015">
        <f ca="1"/>
        <v>22.14</v>
      </c>
    </row>
    <row r="229" spans="4:11" x14ac:dyDescent="0.3">
      <c r="D229" vm="1564">
        <f ca="1"/>
        <v>44151</v>
      </c>
      <c r="E229" vm="1565">
        <f ca="1"/>
        <v>33.520000000000003</v>
      </c>
      <c r="F229" vm="1566">
        <f ca="1"/>
        <v>44517</v>
      </c>
      <c r="G229" vm="433">
        <f ca="1"/>
        <v>27.53</v>
      </c>
      <c r="H229" vm="1567">
        <f ca="1"/>
        <v>44880</v>
      </c>
      <c r="I229" vm="1568">
        <f ca="1"/>
        <v>23.75</v>
      </c>
      <c r="J229" vm="1569">
        <f ca="1"/>
        <v>45245</v>
      </c>
      <c r="K229" vm="910">
        <f ca="1"/>
        <v>22.24</v>
      </c>
    </row>
    <row r="230" spans="4:11" x14ac:dyDescent="0.3">
      <c r="D230" vm="1570">
        <f ca="1"/>
        <v>44152</v>
      </c>
      <c r="E230" vm="1340">
        <f ca="1"/>
        <v>34.24</v>
      </c>
      <c r="F230" vm="1571">
        <f ca="1"/>
        <v>44518</v>
      </c>
      <c r="G230" vm="1572">
        <f ca="1"/>
        <v>26.61</v>
      </c>
      <c r="H230" vm="1573">
        <f ca="1"/>
        <v>44881</v>
      </c>
      <c r="I230" vm="1574">
        <f ca="1"/>
        <v>23.7</v>
      </c>
      <c r="J230" vm="1575">
        <f ca="1"/>
        <v>45246</v>
      </c>
      <c r="K230" vm="1576">
        <f ca="1"/>
        <v>21.86</v>
      </c>
    </row>
    <row r="231" spans="4:11" x14ac:dyDescent="0.3">
      <c r="D231" vm="1577">
        <f ca="1"/>
        <v>44153</v>
      </c>
      <c r="E231" vm="985">
        <f ca="1"/>
        <v>34.5</v>
      </c>
      <c r="F231" vm="1578">
        <f ca="1"/>
        <v>44519</v>
      </c>
      <c r="G231" vm="1579">
        <f ca="1"/>
        <v>26.05</v>
      </c>
      <c r="H231" vm="1580">
        <f ca="1"/>
        <v>44882</v>
      </c>
      <c r="I231" vm="1581">
        <f ca="1"/>
        <v>23.62</v>
      </c>
      <c r="J231" vm="1582">
        <f ca="1"/>
        <v>45247</v>
      </c>
      <c r="K231" vm="1001">
        <f ca="1"/>
        <v>22.26</v>
      </c>
    </row>
    <row r="232" spans="4:11" x14ac:dyDescent="0.3">
      <c r="D232" vm="1583">
        <f ca="1"/>
        <v>44154</v>
      </c>
      <c r="E232" vm="1584">
        <f ca="1"/>
        <v>34.32</v>
      </c>
      <c r="F232" vm="1585">
        <f ca="1"/>
        <v>44522</v>
      </c>
      <c r="G232" vm="1586">
        <f ca="1"/>
        <v>26.4</v>
      </c>
      <c r="H232" vm="1587">
        <f ca="1"/>
        <v>44883</v>
      </c>
      <c r="I232" vm="1588">
        <f ca="1"/>
        <v>23.53</v>
      </c>
      <c r="J232" vm="1589">
        <f ca="1"/>
        <v>45250</v>
      </c>
      <c r="K232" vm="878">
        <f ca="1"/>
        <v>22.28</v>
      </c>
    </row>
    <row r="233" spans="4:11" x14ac:dyDescent="0.3">
      <c r="D233" vm="1590">
        <f ca="1"/>
        <v>44155</v>
      </c>
      <c r="E233" vm="1591">
        <f ca="1"/>
        <v>35.479999999999997</v>
      </c>
      <c r="F233" vm="1592">
        <f ca="1"/>
        <v>44523</v>
      </c>
      <c r="G233" vm="1593">
        <f ca="1"/>
        <v>26.57</v>
      </c>
      <c r="H233" vm="1594">
        <f ca="1"/>
        <v>44886</v>
      </c>
      <c r="I233" vm="1528">
        <f ca="1"/>
        <v>23.58</v>
      </c>
      <c r="J233" vm="1595">
        <f ca="1"/>
        <v>45251</v>
      </c>
      <c r="K233" vm="1596">
        <f ca="1"/>
        <v>21.96</v>
      </c>
    </row>
    <row r="234" spans="4:11" x14ac:dyDescent="0.3">
      <c r="D234" vm="1597">
        <f ca="1"/>
        <v>44158</v>
      </c>
      <c r="E234" vm="1598">
        <f ca="1"/>
        <v>35.880000000000003</v>
      </c>
      <c r="F234" vm="1599">
        <f ca="1"/>
        <v>44524</v>
      </c>
      <c r="G234" vm="1600">
        <f ca="1"/>
        <v>26.22</v>
      </c>
      <c r="H234" vm="1601">
        <f ca="1"/>
        <v>44887</v>
      </c>
      <c r="I234" vm="1602">
        <f ca="1"/>
        <v>24.03</v>
      </c>
      <c r="J234" vm="1603">
        <f ca="1"/>
        <v>45252</v>
      </c>
      <c r="K234" vm="982">
        <f ca="1"/>
        <v>22.06</v>
      </c>
    </row>
    <row r="235" spans="4:11" x14ac:dyDescent="0.3">
      <c r="D235" vm="1604">
        <f ca="1"/>
        <v>44159</v>
      </c>
      <c r="E235" vm="1605">
        <f ca="1"/>
        <v>37.56</v>
      </c>
      <c r="F235" vm="1606">
        <f ca="1"/>
        <v>44525</v>
      </c>
      <c r="G235" vm="1579">
        <f ca="1"/>
        <v>26.05</v>
      </c>
      <c r="H235" vm="1607">
        <f ca="1"/>
        <v>44888</v>
      </c>
      <c r="I235" vm="1608">
        <f ca="1"/>
        <v>24.08</v>
      </c>
      <c r="J235" vm="1609">
        <f ca="1"/>
        <v>45253</v>
      </c>
      <c r="K235" vm="1001">
        <f ca="1"/>
        <v>22.26</v>
      </c>
    </row>
    <row r="236" spans="4:11" x14ac:dyDescent="0.3">
      <c r="D236" vm="1610">
        <f ca="1"/>
        <v>44160</v>
      </c>
      <c r="E236" vm="1611">
        <f ca="1"/>
        <v>36.54</v>
      </c>
      <c r="F236" vm="1612">
        <f ca="1"/>
        <v>44526</v>
      </c>
      <c r="G236" vm="1613">
        <f ca="1"/>
        <v>25</v>
      </c>
      <c r="H236" vm="1614">
        <f ca="1"/>
        <v>44889</v>
      </c>
      <c r="I236" vm="1615">
        <f ca="1"/>
        <v>24.19</v>
      </c>
      <c r="J236" vm="1616">
        <f ca="1"/>
        <v>45254</v>
      </c>
      <c r="K236" vm="895">
        <f ca="1"/>
        <v>22.36</v>
      </c>
    </row>
    <row r="237" spans="4:11" x14ac:dyDescent="0.3">
      <c r="D237" vm="1617">
        <f ca="1"/>
        <v>44161</v>
      </c>
      <c r="E237" vm="1618">
        <f ca="1"/>
        <v>36.659999999999997</v>
      </c>
      <c r="F237" vm="1619">
        <f ca="1"/>
        <v>44529</v>
      </c>
      <c r="G237" vm="1620">
        <f ca="1"/>
        <v>24.82</v>
      </c>
      <c r="H237" vm="1621">
        <f ca="1"/>
        <v>44890</v>
      </c>
      <c r="I237" vm="413">
        <f ca="1"/>
        <v>24.34</v>
      </c>
      <c r="J237" vm="1622">
        <f ca="1"/>
        <v>45257</v>
      </c>
      <c r="K237" vm="1015">
        <f ca="1"/>
        <v>22.14</v>
      </c>
    </row>
    <row r="238" spans="4:11" x14ac:dyDescent="0.3">
      <c r="D238" vm="1623">
        <f ca="1"/>
        <v>44162</v>
      </c>
      <c r="E238" vm="573">
        <f ca="1"/>
        <v>37.14</v>
      </c>
      <c r="F238" vm="1624">
        <f ca="1"/>
        <v>44530</v>
      </c>
      <c r="G238" vm="1625">
        <f ca="1"/>
        <v>24.28</v>
      </c>
      <c r="H238" vm="1626">
        <f ca="1"/>
        <v>44893</v>
      </c>
      <c r="I238" vm="818">
        <f ca="1"/>
        <v>24.25</v>
      </c>
      <c r="J238" vm="1627">
        <f ca="1"/>
        <v>45258</v>
      </c>
      <c r="K238" vm="1628">
        <f ca="1"/>
        <v>22.16</v>
      </c>
    </row>
    <row r="239" spans="4:11" x14ac:dyDescent="0.3">
      <c r="D239" vm="1629">
        <f ca="1"/>
        <v>44165</v>
      </c>
      <c r="E239" vm="1598">
        <f ca="1"/>
        <v>35.880000000000003</v>
      </c>
      <c r="F239" vm="1630">
        <f ca="1"/>
        <v>44531</v>
      </c>
      <c r="G239" vm="820">
        <f ca="1"/>
        <v>24.94</v>
      </c>
      <c r="H239" vm="1631">
        <f ca="1"/>
        <v>44894</v>
      </c>
      <c r="I239" vm="1632">
        <f ca="1"/>
        <v>24.3</v>
      </c>
      <c r="J239" vm="1633">
        <f ca="1"/>
        <v>45259</v>
      </c>
      <c r="K239" vm="1628">
        <f ca="1"/>
        <v>22.16</v>
      </c>
    </row>
    <row r="240" spans="4:11" x14ac:dyDescent="0.3">
      <c r="D240" vm="1634">
        <f ca="1"/>
        <v>44166</v>
      </c>
      <c r="E240" vm="950">
        <f ca="1"/>
        <v>36.6</v>
      </c>
      <c r="F240" vm="1635">
        <f ca="1"/>
        <v>44532</v>
      </c>
      <c r="G240" vm="563">
        <f ca="1"/>
        <v>25.05</v>
      </c>
      <c r="H240" vm="1636">
        <f ca="1"/>
        <v>44895</v>
      </c>
      <c r="I240" vm="1123">
        <f ca="1"/>
        <v>24.2</v>
      </c>
      <c r="J240" vm="1637">
        <f ca="1"/>
        <v>45260</v>
      </c>
      <c r="K240" vm="925">
        <f ca="1"/>
        <v>22.3</v>
      </c>
    </row>
    <row r="241" spans="4:11" x14ac:dyDescent="0.3">
      <c r="D241" vm="1638">
        <f ca="1"/>
        <v>44167</v>
      </c>
      <c r="E241" vm="1639">
        <f ca="1"/>
        <v>36.78</v>
      </c>
      <c r="F241" vm="1640">
        <f ca="1"/>
        <v>44533</v>
      </c>
      <c r="G241" vm="1641">
        <f ca="1"/>
        <v>25.39</v>
      </c>
      <c r="H241" vm="1642">
        <f ca="1"/>
        <v>44896</v>
      </c>
      <c r="I241" vm="1602">
        <f ca="1"/>
        <v>24.03</v>
      </c>
      <c r="J241" vm="1643">
        <f ca="1"/>
        <v>45261</v>
      </c>
      <c r="K241" vm="873">
        <f ca="1"/>
        <v>22.54</v>
      </c>
    </row>
    <row r="242" spans="4:11" x14ac:dyDescent="0.3">
      <c r="D242" vm="1644">
        <f ca="1"/>
        <v>44168</v>
      </c>
      <c r="E242" vm="1645">
        <f ca="1"/>
        <v>36.58</v>
      </c>
      <c r="F242" vm="1646">
        <f ca="1"/>
        <v>44536</v>
      </c>
      <c r="G242" vm="249">
        <f ca="1"/>
        <v>25.93</v>
      </c>
      <c r="H242" vm="1647">
        <f ca="1"/>
        <v>44897</v>
      </c>
      <c r="I242" vm="1648">
        <f ca="1"/>
        <v>23.97</v>
      </c>
      <c r="J242" vm="1649">
        <f ca="1"/>
        <v>45264</v>
      </c>
      <c r="K242" vm="895">
        <f ca="1"/>
        <v>22.36</v>
      </c>
    </row>
    <row r="243" spans="4:11" x14ac:dyDescent="0.3">
      <c r="D243" vm="1650">
        <f ca="1"/>
        <v>44169</v>
      </c>
      <c r="E243" vm="1651">
        <f ca="1"/>
        <v>37.54</v>
      </c>
      <c r="F243" vm="1652">
        <f ca="1"/>
        <v>44537</v>
      </c>
      <c r="G243" vm="643">
        <f ca="1"/>
        <v>25.62</v>
      </c>
      <c r="H243" vm="1653">
        <f ca="1"/>
        <v>44900</v>
      </c>
      <c r="I243" vm="1654">
        <f ca="1"/>
        <v>24.24</v>
      </c>
      <c r="J243" vm="1655">
        <f ca="1"/>
        <v>45265</v>
      </c>
      <c r="K243" vm="916">
        <f ca="1"/>
        <v>22.32</v>
      </c>
    </row>
    <row r="244" spans="4:11" x14ac:dyDescent="0.3">
      <c r="D244" vm="1656">
        <f ca="1"/>
        <v>44172</v>
      </c>
      <c r="E244" vm="899">
        <f ca="1"/>
        <v>37.44</v>
      </c>
      <c r="F244" vm="1657">
        <f ca="1"/>
        <v>44538</v>
      </c>
      <c r="G244" vm="506">
        <f ca="1"/>
        <v>25.3</v>
      </c>
      <c r="H244" vm="1658">
        <f ca="1"/>
        <v>44901</v>
      </c>
      <c r="I244" vm="1116">
        <f ca="1"/>
        <v>23.99</v>
      </c>
      <c r="J244" vm="1659">
        <f ca="1"/>
        <v>45266</v>
      </c>
      <c r="K244" vm="880">
        <f ca="1"/>
        <v>22.02</v>
      </c>
    </row>
    <row r="245" spans="4:11" x14ac:dyDescent="0.3">
      <c r="D245" vm="1660">
        <f ca="1"/>
        <v>44173</v>
      </c>
      <c r="E245" vm="1661">
        <f ca="1"/>
        <v>37.200000000000003</v>
      </c>
      <c r="F245" vm="1662">
        <f ca="1"/>
        <v>44539</v>
      </c>
      <c r="G245" vm="1663">
        <f ca="1"/>
        <v>25.23</v>
      </c>
      <c r="H245" vm="1664">
        <f ca="1"/>
        <v>44902</v>
      </c>
      <c r="I245" vm="1665">
        <f ca="1"/>
        <v>23.95</v>
      </c>
      <c r="J245" vm="1666">
        <f ca="1"/>
        <v>45267</v>
      </c>
      <c r="K245" vm="1667">
        <f ca="1"/>
        <v>22</v>
      </c>
    </row>
    <row r="246" spans="4:11" x14ac:dyDescent="0.3">
      <c r="D246" vm="1668">
        <f ca="1"/>
        <v>44174</v>
      </c>
      <c r="E246" vm="117">
        <f ca="1"/>
        <v>37.979999999999997</v>
      </c>
      <c r="F246" vm="1669">
        <f ca="1"/>
        <v>44540</v>
      </c>
      <c r="G246" vm="343">
        <f ca="1"/>
        <v>25.47</v>
      </c>
      <c r="H246" vm="1670">
        <f ca="1"/>
        <v>44903</v>
      </c>
      <c r="I246" vm="1671">
        <f ca="1"/>
        <v>24.15</v>
      </c>
      <c r="J246" vm="1672">
        <f ca="1"/>
        <v>45268</v>
      </c>
      <c r="K246" vm="933">
        <f ca="1"/>
        <v>22.1</v>
      </c>
    </row>
    <row r="247" spans="4:11" x14ac:dyDescent="0.3">
      <c r="D247" vm="1673">
        <f ca="1"/>
        <v>44175</v>
      </c>
      <c r="E247" vm="1674">
        <f ca="1"/>
        <v>37.9</v>
      </c>
      <c r="F247" vm="1675">
        <f ca="1"/>
        <v>44543</v>
      </c>
      <c r="G247" vm="1676">
        <f ca="1"/>
        <v>24.64</v>
      </c>
      <c r="H247" vm="1677">
        <f ca="1"/>
        <v>44904</v>
      </c>
      <c r="I247" vm="1678">
        <f ca="1"/>
        <v>24.07</v>
      </c>
      <c r="J247" vm="1679">
        <f ca="1"/>
        <v>45271</v>
      </c>
      <c r="K247" vm="887">
        <f ca="1"/>
        <v>22.12</v>
      </c>
    </row>
    <row r="248" spans="4:11" x14ac:dyDescent="0.3">
      <c r="D248" vm="1680">
        <f ca="1"/>
        <v>44176</v>
      </c>
      <c r="E248" vm="1681">
        <f ca="1"/>
        <v>38</v>
      </c>
      <c r="F248" vm="1682">
        <f ca="1"/>
        <v>44544</v>
      </c>
      <c r="G248" vm="1683">
        <f ca="1"/>
        <v>24.56</v>
      </c>
      <c r="H248" vm="1684">
        <f ca="1"/>
        <v>44907</v>
      </c>
      <c r="I248" vm="1685">
        <f ca="1"/>
        <v>23.89</v>
      </c>
      <c r="J248" vm="1686">
        <f ca="1"/>
        <v>45272</v>
      </c>
      <c r="K248" vm="880">
        <f ca="1"/>
        <v>22.02</v>
      </c>
    </row>
    <row r="249" spans="4:11" x14ac:dyDescent="0.3">
      <c r="D249" vm="1687">
        <f ca="1"/>
        <v>44179</v>
      </c>
      <c r="E249" vm="224">
        <f ca="1"/>
        <v>38.299999999999997</v>
      </c>
      <c r="F249" vm="1688">
        <f ca="1"/>
        <v>44545</v>
      </c>
      <c r="G249" vm="483">
        <f ca="1"/>
        <v>24.52</v>
      </c>
      <c r="H249" vm="1689">
        <f ca="1"/>
        <v>44908</v>
      </c>
      <c r="I249" vm="1690">
        <f ca="1"/>
        <v>24.22</v>
      </c>
      <c r="J249" vm="1691">
        <f ca="1"/>
        <v>45273</v>
      </c>
      <c r="K249" vm="1692">
        <f ca="1"/>
        <v>22.2</v>
      </c>
    </row>
    <row r="250" spans="4:11" x14ac:dyDescent="0.3">
      <c r="D250" vm="1693">
        <f ca="1"/>
        <v>44180</v>
      </c>
      <c r="E250" vm="1694">
        <f ca="1"/>
        <v>37.78</v>
      </c>
      <c r="F250" vm="1695">
        <f ca="1"/>
        <v>44546</v>
      </c>
      <c r="G250" vm="428">
        <f ca="1"/>
        <v>24.7</v>
      </c>
      <c r="H250" vm="1696">
        <f ca="1"/>
        <v>44909</v>
      </c>
      <c r="I250" vm="413">
        <f ca="1"/>
        <v>24.34</v>
      </c>
      <c r="J250" vm="1697">
        <f ca="1"/>
        <v>45274</v>
      </c>
      <c r="K250" vm="1698">
        <f ca="1"/>
        <v>22.48</v>
      </c>
    </row>
    <row r="251" spans="4:11" x14ac:dyDescent="0.3">
      <c r="D251" vm="1699">
        <f ca="1"/>
        <v>44181</v>
      </c>
      <c r="E251" vm="1700">
        <f ca="1"/>
        <v>37.42</v>
      </c>
      <c r="F251" vm="1701">
        <f ca="1"/>
        <v>44547</v>
      </c>
      <c r="G251" vm="1702">
        <f ca="1"/>
        <v>25.87</v>
      </c>
      <c r="H251" vm="1703">
        <f ca="1"/>
        <v>44910</v>
      </c>
      <c r="I251" vm="818">
        <f ca="1"/>
        <v>24.25</v>
      </c>
      <c r="J251" vm="1704">
        <f ca="1"/>
        <v>45275</v>
      </c>
      <c r="K251" vm="918">
        <f ca="1"/>
        <v>22.56</v>
      </c>
    </row>
    <row r="252" spans="4:11" x14ac:dyDescent="0.3">
      <c r="D252" vm="1705">
        <f ca="1"/>
        <v>44182</v>
      </c>
      <c r="E252" vm="392">
        <f ca="1"/>
        <v>37.36</v>
      </c>
      <c r="F252" vm="1706">
        <f ca="1"/>
        <v>44550</v>
      </c>
      <c r="G252" vm="637">
        <f ca="1"/>
        <v>25.5</v>
      </c>
      <c r="H252" vm="1707">
        <f ca="1"/>
        <v>44911</v>
      </c>
      <c r="I252" vm="1280">
        <f ca="1"/>
        <v>24.17</v>
      </c>
      <c r="J252" vm="1708">
        <f ca="1"/>
        <v>45278</v>
      </c>
      <c r="K252" vm="1027">
        <f ca="1"/>
        <v>22.52</v>
      </c>
    </row>
    <row r="253" spans="4:11" x14ac:dyDescent="0.3">
      <c r="D253" vm="1709">
        <f ca="1"/>
        <v>44183</v>
      </c>
      <c r="E253" vm="1710">
        <f ca="1"/>
        <v>37.1</v>
      </c>
      <c r="F253" vm="1711">
        <f ca="1"/>
        <v>44551</v>
      </c>
      <c r="G253" vm="1712">
        <f ca="1"/>
        <v>25.65</v>
      </c>
      <c r="H253" vm="1713">
        <f ca="1"/>
        <v>44914</v>
      </c>
      <c r="I253" vm="1714">
        <f ca="1"/>
        <v>24.27</v>
      </c>
      <c r="J253" vm="1715">
        <f ca="1"/>
        <v>45279</v>
      </c>
      <c r="K253" vm="873">
        <f ca="1"/>
        <v>22.54</v>
      </c>
    </row>
    <row r="254" spans="4:11" x14ac:dyDescent="0.3">
      <c r="D254" vm="1716">
        <f ca="1"/>
        <v>44186</v>
      </c>
      <c r="E254" vm="1717">
        <f ca="1"/>
        <v>36.74</v>
      </c>
      <c r="F254" vm="1718">
        <f ca="1"/>
        <v>44552</v>
      </c>
      <c r="G254" vm="329">
        <f ca="1"/>
        <v>26.19</v>
      </c>
      <c r="H254" vm="1719">
        <f ca="1"/>
        <v>44915</v>
      </c>
      <c r="I254" vm="1720">
        <f ca="1"/>
        <v>24.23</v>
      </c>
      <c r="J254" vm="1721">
        <f ca="1"/>
        <v>45280</v>
      </c>
      <c r="K254" vm="1479">
        <f ca="1"/>
        <v>22.6</v>
      </c>
    </row>
    <row r="255" spans="4:11" x14ac:dyDescent="0.3">
      <c r="D255" vm="1722">
        <f ca="1"/>
        <v>44187</v>
      </c>
      <c r="E255" vm="1723">
        <f ca="1"/>
        <v>37.46</v>
      </c>
      <c r="F255" vm="1724">
        <f ca="1"/>
        <v>44553</v>
      </c>
      <c r="G255" vm="1725">
        <f ca="1"/>
        <v>26.7</v>
      </c>
      <c r="H255" vm="1726">
        <f ca="1"/>
        <v>44916</v>
      </c>
      <c r="I255" vm="1727">
        <f ca="1"/>
        <v>24.76</v>
      </c>
      <c r="J255" vm="1728">
        <f ca="1"/>
        <v>45281</v>
      </c>
      <c r="K255" vm="873">
        <f ca="1"/>
        <v>22.54</v>
      </c>
    </row>
    <row r="256" spans="4:11" x14ac:dyDescent="0.3">
      <c r="D256" vm="1729">
        <f ca="1"/>
        <v>44188</v>
      </c>
      <c r="E256" vm="295">
        <f ca="1"/>
        <v>37.96</v>
      </c>
      <c r="F256" vm="1730">
        <f ca="1"/>
        <v>44554</v>
      </c>
      <c r="G256" vm="789">
        <f ca="1"/>
        <v>26.62</v>
      </c>
      <c r="H256" vm="1731">
        <f ca="1"/>
        <v>44917</v>
      </c>
      <c r="I256" vm="1732">
        <f ca="1"/>
        <v>24.65</v>
      </c>
      <c r="J256" vm="1733">
        <f ca="1"/>
        <v>45282</v>
      </c>
      <c r="K256" vm="918">
        <f ca="1"/>
        <v>22.56</v>
      </c>
    </row>
    <row r="257" spans="4:11" x14ac:dyDescent="0.3">
      <c r="D257" vm="1734">
        <f ca="1"/>
        <v>44189</v>
      </c>
      <c r="E257" vm="1236">
        <f ca="1"/>
        <v>37.94</v>
      </c>
      <c r="F257" vm="1735">
        <f ca="1"/>
        <v>44557</v>
      </c>
      <c r="G257" vm="388">
        <f ca="1"/>
        <v>26.71</v>
      </c>
      <c r="H257" vm="1736">
        <f ca="1"/>
        <v>44918</v>
      </c>
      <c r="I257" vm="1737">
        <f ca="1"/>
        <v>24.62</v>
      </c>
      <c r="J257" vm="1738">
        <f ca="1"/>
        <v>45287</v>
      </c>
      <c r="K257" vm="1479">
        <f ca="1"/>
        <v>22.6</v>
      </c>
    </row>
    <row r="258" spans="4:11" x14ac:dyDescent="0.3">
      <c r="D258" vm="1739">
        <f ca="1"/>
        <v>44193</v>
      </c>
      <c r="E258" vm="1740">
        <f ca="1"/>
        <v>38.14</v>
      </c>
      <c r="F258" vm="1741">
        <f ca="1"/>
        <v>44558</v>
      </c>
      <c r="G258" vm="1742">
        <f ca="1"/>
        <v>26.55</v>
      </c>
      <c r="H258" vm="1743">
        <f ca="1"/>
        <v>44922</v>
      </c>
      <c r="I258" vm="600">
        <f ca="1"/>
        <v>24.84</v>
      </c>
      <c r="J258" vm="1744">
        <f ca="1"/>
        <v>45288</v>
      </c>
      <c r="K258" vm="866">
        <f ca="1"/>
        <v>22.58</v>
      </c>
    </row>
    <row r="259" spans="4:11" x14ac:dyDescent="0.3">
      <c r="D259" vm="1745">
        <f ca="1"/>
        <v>44194</v>
      </c>
      <c r="E259" vm="1746">
        <f ca="1"/>
        <v>38.26</v>
      </c>
      <c r="F259" vm="1747">
        <f ca="1"/>
        <v>44559</v>
      </c>
      <c r="G259" vm="1748">
        <f ca="1"/>
        <v>26.83</v>
      </c>
      <c r="H259" vm="1749">
        <f ca="1"/>
        <v>44923</v>
      </c>
      <c r="I259" vm="1750">
        <f ca="1"/>
        <v>24.74</v>
      </c>
      <c r="J259" vm="1751">
        <f ca="1"/>
        <v>45289</v>
      </c>
      <c r="K259" vm="1752">
        <f ca="1"/>
        <v>22.5</v>
      </c>
    </row>
    <row r="260" spans="4:11" x14ac:dyDescent="0.3">
      <c r="D260" vm="1753">
        <f ca="1"/>
        <v>44195</v>
      </c>
      <c r="E260" vm="156">
        <f ca="1"/>
        <v>38.020000000000003</v>
      </c>
      <c r="F260" vm="1754">
        <f ca="1"/>
        <v>44560</v>
      </c>
      <c r="G260" vm="789">
        <f ca="1"/>
        <v>26.62</v>
      </c>
      <c r="H260" vm="1755">
        <f ca="1"/>
        <v>44924</v>
      </c>
      <c r="I260" vm="1756">
        <f ca="1"/>
        <v>24.89</v>
      </c>
    </row>
    <row r="261" spans="4:11" x14ac:dyDescent="0.3">
      <c r="D261" vm="1757">
        <f ca="1"/>
        <v>44196</v>
      </c>
      <c r="E261" vm="117">
        <f ca="1"/>
        <v>37.979999999999997</v>
      </c>
      <c r="F261" vm="1758">
        <f ca="1"/>
        <v>44561</v>
      </c>
      <c r="G261" vm="542">
        <f ca="1"/>
        <v>26.26</v>
      </c>
      <c r="H261" vm="1759">
        <f ca="1"/>
        <v>44925</v>
      </c>
      <c r="I261" vm="1760">
        <f ca="1"/>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Model</vt:lpstr>
      <vt:lpstr>Division Integration</vt:lpstr>
      <vt:lpstr>Scenario Analysis</vt:lpstr>
      <vt:lpstr>Rubis Energies Division</vt:lpstr>
      <vt:lpstr>Renewables Division</vt:lpstr>
      <vt:lpstr>Shares</vt:lpstr>
      <vt:lpstr>DCF</vt:lpstr>
      <vt:lpstr>Share Price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yannick laurent</dc:creator>
  <cp:lastModifiedBy>yannick laurent</cp:lastModifiedBy>
  <dcterms:created xsi:type="dcterms:W3CDTF">2015-06-05T18:17:20Z</dcterms:created>
  <dcterms:modified xsi:type="dcterms:W3CDTF">2024-11-16T02:16:10Z</dcterms:modified>
</cp:coreProperties>
</file>